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<sst xmlns="http://schemas.openxmlformats.org/spreadsheetml/2006/main" count="1262" uniqueCount="398">
  <si>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</si>
  <si>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</si>
  <si>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</si>
  <si>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</si>
  <si>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</si>
  <si>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</si>
  <si>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</si>
  <si>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</si>
  <si>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</si>
  <si>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</si>
  <si>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</si>
  <si>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</si>
  <si>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</si>
  <si>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</si>
  <si>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</si>
  <si>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</si>
  <si>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</si>
  <si>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</si>
  <si>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</si>
  <si>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</si>
  <si>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</si>
  <si>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</si>
  <si>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</si>
  <si>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</si>
  <si>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</si>
  <si>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</si>
  <si>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</si>
  <si>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</si>
  <si>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</si>
  <si>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</si>
  <si>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</si>
  <si>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</si>
  <si>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</si>
  <si>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</si>
  <si>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</si>
  <si>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</si>
  <si>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</si>
  <si>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</si>
  <si>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</si>
  <si>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</si>
  <si>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</si>
  <si>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</si>
  <si>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</si>
  <si>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</si>
  <si>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</si>
  <si>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</si>
  <si>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</si>
  <si>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</si>
  <si>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</si>
  <si>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</si>
  <si>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</si>
  <si>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</si>
  <si>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</si>
  <si>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</si>
  <si>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</si>
  <si>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</si>
  <si>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</si>
  <si>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</si>
  <si>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</si>
  <si>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</si>
  <si>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</si>
  <si>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</si>
  <si>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</si>
  <si>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</si>
  <si>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</si>
  <si>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</si>
  <si>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</si>
  <si>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</si>
  <si>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</si>
  <si>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</si>
  <si>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</si>
  <si>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</si>
  <si>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</si>
  <si>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</si>
  <si>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</si>
  <si>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</si>
  <si>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</si>
  <si>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</si>
  <si>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</si>
  <si>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</si>
  <si>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</si>
  <si>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</si>
  <si>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</si>
  <si>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</si>
  <si>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</si>
  <si>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</si>
  <si>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</si>
  <si>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</si>
  <si>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</si>
  <si>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</si>
  <si>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</si>
  <si>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</si>
  <si>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</si>
  <si>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</si>
  <si>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</si>
  <si>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</si>
  <si>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</si>
  <si>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</si>
  <si>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</si>
  <si>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</si>
  <si>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</si>
  <si>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</si>
  <si>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</si>
  <si>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</si>
  <si>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</si>
  <si>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</si>
  <si>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</si>
  <si>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</si>
  <si>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</si>
  <si>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</si>
  <si>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</si>
  <si>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</si>
  <si>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</si>
  <si>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</si>
  <si>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</si>
  <si>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</si>
  <si>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</si>
  <si>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</si>
  <si>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</si>
  <si>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</si>
  <si>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</si>
  <si>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</si>
  <si>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</si>
  <si>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</si>
  <si>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</si>
  <si>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</si>
  <si>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</si>
  <si>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</si>
  <si>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</si>
  <si>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</si>
  <si>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</si>
  <si>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</si>
  <si>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</si>
  <si>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</si>
  <si>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</si>
  <si>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</si>
  <si>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</si>
  <si>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</si>
  <si>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</si>
  <si>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</si>
  <si>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</si>
  <si>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</si>
  <si>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</si>
  <si>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</si>
  <si>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</si>
  <si>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</si>
  <si>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</si>
  <si>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</si>
  <si>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</si>
  <si>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</si>
  <si>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</si>
  <si>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</si>
  <si>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</si>
  <si>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</si>
  <si>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</si>
  <si>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</si>
  <si>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</si>
  <si>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</si>
  <si>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</si>
  <si>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</si>
  <si>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</si>
  <si>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</si>
  <si>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</si>
  <si>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</si>
  <si>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</si>
  <si>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</si>
  <si>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</si>
  <si>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</si>
  <si>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</si>
  <si>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</si>
  <si>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</si>
  <si>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</si>
  <si>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</si>
  <si>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</si>
  <si>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</si>
  <si>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</si>
  <si>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</si>
  <si>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</si>
  <si>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</si>
  <si>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</si>
  <si>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</si>
  <si>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</si>
  <si>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</si>
  <si>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</si>
  <si>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</si>
  <si>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</si>
  <si>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</si>
  <si>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</si>
  <si>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</si>
  <si>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</si>
  <si>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</si>
  <si>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</si>
  <si>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</si>
  <si>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</si>
  <si>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</si>
  <si>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</si>
  <si>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</si>
  <si>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</si>
  <si>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</si>
  <si>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</si>
  <si>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</si>
  <si>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</si>
  <si>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</si>
  <si>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</si>
  <si>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</si>
  <si>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</si>
  <si>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</si>
  <si>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</si>
  <si>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</si>
  <si>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</si>
  <si>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</si>
  <si>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</si>
  <si>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</si>
  <si>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</si>
  <si>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</si>
  <si>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</si>
  <si>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</si>
  <si>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</si>
  <si>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</si>
  <si>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</si>
  <si>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</si>
  <si>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</si>
  <si>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</si>
  <si>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</si>
  <si>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</si>
  <si>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</si>
  <si>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</si>
  <si>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</si>
  <si>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</si>
  <si>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</si>
  <si>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</si>
  <si>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</si>
  <si>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</si>
  <si>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</si>
  <si>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</si>
  <si>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</si>
  <si>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</si>
  <si>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</si>
  <si>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</si>
  <si>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</si>
  <si>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</si>
  <si>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</si>
  <si>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</si>
  <si>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</si>
  <si>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</si>
  <si>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</si>
  <si>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</si>
  <si>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</si>
  <si>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</si>
  <si>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</si>
  <si>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</si>
  <si>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</si>
  <si>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</si>
  <si>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</si>
  <si>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</si>
  <si>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</si>
  <si>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</si>
  <si>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</si>
  <si>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</si>
  <si>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</si>
  <si>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</si>
  <si>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</si>
  <si>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</si>
  <si>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</si>
  <si>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</si>
  <si>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</si>
  <si>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</si>
  <si>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</si>
  <si>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</si>
  <si>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</si>
  <si>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</si>
  <si>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</si>
  <si>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</si>
  <si>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</si>
  <si>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</si>
  <si>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</si>
  <si>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</si>
  <si>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</si>
  <si>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</si>
  <si>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</si>
  <si>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</si>
  <si>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</si>
  <si>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</si>
  <si>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</si>
  <si>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</si>
  <si>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</si>
  <si>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</si>
  <si>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</si>
  <si>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</si>
  <si>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</si>
  <si>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</si>
  <si>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</si>
  <si>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</si>
  <si>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</si>
  <si>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</si>
  <si>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</si>
  <si>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</si>
  <si>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</si>
  <si>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</si>
  <si>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</si>
  <si>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</si>
  <si>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</si>
  <si>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с НДС, руб.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</si>
  <si>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</si>
  <si>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</si>
  <si>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</si>
  <si>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Обслуживание тепловых узлов</t>
  </si>
  <si>
    <t>узел</t>
  </si>
  <si>
    <t>Техническое обслуживание газового оборудования</t>
  </si>
  <si>
    <t>кв.</t>
  </si>
  <si>
    <t>Расходы на управление домом</t>
  </si>
  <si>
    <t>СОДЕРЖАНИЕ И ТЕКУШИЙ РЕМОНТ КОНСТРУКТИВНЫХ ЭЛЕМЕНТОВ ЗДАНИЯ</t>
  </si>
  <si>
    <t>канал</t>
  </si>
  <si>
    <t>100м2</t>
  </si>
  <si>
    <t>СТЕНЫ</t>
  </si>
  <si>
    <t xml:space="preserve"> по объему в дефектной ведомости</t>
  </si>
  <si>
    <t>Ремонт стыков наружных стен крупнопанельных зданий отверждающимися мастиками, нанесенными по прочному цементно песчанному основанию</t>
  </si>
  <si>
    <t>п.м.</t>
  </si>
  <si>
    <t xml:space="preserve">Ремонт оконных переплетов </t>
  </si>
  <si>
    <t>шт.</t>
  </si>
  <si>
    <t xml:space="preserve">Заделка подвальных и чердачных окон </t>
  </si>
  <si>
    <t>РЕМОНТ И ОБСЛУЖИВАНИЕ ВНУТРИДОМОВОГО ИНЖЕНЕРНОГО ОБОРУДОВАНИЯ</t>
  </si>
  <si>
    <t>САНТЕХНИЧЕСКИЕ РАБОТЫ</t>
  </si>
  <si>
    <t>Контрольное снятие показаний ИПУ в квартирах</t>
  </si>
  <si>
    <t>1раз в месяц</t>
  </si>
  <si>
    <t>по мере необходимости в течении отчетного периода</t>
  </si>
  <si>
    <t>м</t>
  </si>
  <si>
    <t>Промывка системы центрального отопления дома</t>
  </si>
  <si>
    <t>Установка общедомовых приборов учета</t>
  </si>
  <si>
    <t>компл.</t>
  </si>
  <si>
    <t>Осмотр электросетей, арматуры и электрооборудования на чердаках и подвалах</t>
  </si>
  <si>
    <t>1000м2</t>
  </si>
  <si>
    <t>Сезонный осмотр элементов здания с внесением данных в паспорт готовности дома</t>
  </si>
  <si>
    <t>1 раза в год</t>
  </si>
  <si>
    <t>2 раза в летний период</t>
  </si>
  <si>
    <t>Погрузка и разгрузка веток, листьев, мусора от прополки, вывоз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</si>
  <si>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</si>
  <si>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</si>
  <si>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</si>
  <si>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две недели</t>
  </si>
  <si>
    <t>Пескопосыпка территории  1 класса</t>
  </si>
  <si>
    <t xml:space="preserve">Механизированная уборка дворовых территорий в зимнее время </t>
  </si>
  <si>
    <t xml:space="preserve"> по мере необходимости</t>
  </si>
  <si>
    <t>в том числе:</t>
  </si>
  <si>
    <t>Вывоз твердых  бытовых отходов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</si>
  <si>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</si>
  <si>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</si>
  <si>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</si>
  <si>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</si>
  <si>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</si>
  <si>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</si>
  <si>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</si>
  <si>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</si>
  <si>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</si>
  <si>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</si>
  <si>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r>
      <t xml:space="preserve">ИТОГО ПО ОБЯЗАТЕЛЬНЫМ РАБОТАМ И УСЛУГАМ                     </t>
    </r>
    <r>
      <rPr>
        <i/>
        <sz val="10"/>
        <rFont val="Arial"/>
        <family val="2"/>
      </rPr>
      <t xml:space="preserve">руб. </t>
    </r>
    <r>
      <rPr>
        <b/>
        <i/>
        <sz val="10"/>
        <rFont val="Arial"/>
        <family val="2"/>
      </rPr>
      <t xml:space="preserve">                           </t>
    </r>
  </si>
  <si>
    <t xml:space="preserve">Механизированная уборка дворовых территорий в летнее время </t>
  </si>
  <si>
    <t xml:space="preserve">Электромонтажные работы по дому (смена светильников,ламп,выключателей в подъездах,мелкий ремонт электропроводки в подъездах и квартирах) </t>
  </si>
  <si>
    <t>Вывоз КГО (погрузка мусора на атотранспорт, разгрузка  мусора , вывоз ),листьев.</t>
  </si>
  <si>
    <t>16</t>
  </si>
  <si>
    <t>Перчечень выполненных работ по управлению, содержанию и текущему ремонту общего имушества многоквартирного дома №48</t>
  </si>
  <si>
    <t>по ул.Димитрова</t>
  </si>
  <si>
    <t>в период с 01.01.2010 по 31.12.2010 г.</t>
  </si>
  <si>
    <t>Снятие показаний с общедомовых приборов учет (ХВС)</t>
  </si>
  <si>
    <t xml:space="preserve">Периодическая проверка и прочистка каналов газодымоходов </t>
  </si>
  <si>
    <t>Проверка и прочистка вентиляционных каналов</t>
  </si>
  <si>
    <t xml:space="preserve">Ремонт отдельными местами шиферного покрытия  кровли  </t>
  </si>
  <si>
    <t>Очистка козырьков от снега</t>
  </si>
  <si>
    <t>Осмотр шифернойт кровли</t>
  </si>
  <si>
    <t>Подметание лестничных площадок и маршей  (до почтовых ящиков)</t>
  </si>
  <si>
    <t>Уборка вокруг контейнерной площадки в зимнее время</t>
  </si>
  <si>
    <t>Уборка чердаков, подвалов</t>
  </si>
  <si>
    <t xml:space="preserve">Ремонт общедомового сантехоборудования в квартирах (замена стояков ХВ, канализации, врезки по отоплению,прочистка водопровода, ревизия вентиля)              </t>
  </si>
  <si>
    <t>Окраска контейнерных площадок и контейнеров</t>
  </si>
  <si>
    <t>Осмотр системы центрального отопления в  подвальных помещениях, с элементами профремонта</t>
  </si>
  <si>
    <t>Уборка вокруг контейнерной площадки в летнее  время</t>
  </si>
  <si>
    <t>Уборка территории без покрытий от случайного мусора</t>
  </si>
  <si>
    <t>Устройство обделок в местах примыкания к радио и телеантеннам</t>
  </si>
  <si>
    <t>Ремонт системы отопления и водоснабжения в подвале</t>
  </si>
  <si>
    <t>Установка конька из оцинкованной стали</t>
  </si>
  <si>
    <t>Очистка кровли от снега,фановых труб от наледи, сдвигание скола и снега сброшеного с крыш</t>
  </si>
  <si>
    <t>Устоновка металических ограждений</t>
  </si>
  <si>
    <t>м детали</t>
  </si>
  <si>
    <t>Замена трассы ХВ . С врезками на стояки</t>
  </si>
  <si>
    <t>Замена канализации в подвале, кв.48</t>
  </si>
  <si>
    <t>Окрашивание фасада водоэмульсионными составами</t>
  </si>
  <si>
    <t>0.14</t>
  </si>
  <si>
    <t>1</t>
  </si>
  <si>
    <t>Установка ковровыбивалки</t>
  </si>
  <si>
    <t>Кладка перегородки из кирпича</t>
  </si>
  <si>
    <t>по объему дефектной ведомости</t>
  </si>
  <si>
    <t>0.04</t>
  </si>
  <si>
    <r>
      <t xml:space="preserve">Осмотр водопровода, канализации. отопления в квартирах </t>
    </r>
    <r>
      <rPr>
        <sz val="8"/>
        <rFont val="Arial"/>
        <family val="2"/>
      </rPr>
      <t>(54,116,102,117,77,80,53,30,108,22,54,18,89,69 101,29,93,111,41,23,116,76,79,78,43,48,1,51,116,70,67,12)</t>
    </r>
  </si>
  <si>
    <t>Установка счетчиков водомеров в квартирах №30, 118, 15</t>
  </si>
  <si>
    <r>
      <t xml:space="preserve"> Годовая плата по дому :  5304.6*15.51*12 = </t>
    </r>
    <r>
      <rPr>
        <b/>
        <sz val="12"/>
        <rFont val="Times New Roman"/>
        <family val="1"/>
      </rPr>
      <t>987292.15 руб.</t>
    </r>
  </si>
  <si>
    <r>
      <t xml:space="preserve">Долг за домом:  </t>
    </r>
    <r>
      <rPr>
        <b/>
        <sz val="12"/>
        <rFont val="Times New Roman"/>
        <family val="1"/>
      </rPr>
      <t>583950.85</t>
    </r>
  </si>
  <si>
    <r>
      <t xml:space="preserve">Выполно работ и услуг на сумму : </t>
    </r>
    <r>
      <rPr>
        <b/>
        <sz val="12"/>
        <rFont val="Times New Roman"/>
        <family val="1"/>
      </rPr>
      <t>1571243</t>
    </r>
    <r>
      <rPr>
        <sz val="12"/>
        <rFont val="Times New Roman"/>
        <family val="1"/>
      </rPr>
      <t xml:space="preserve"> руб.</t>
    </r>
  </si>
  <si>
    <t>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</si>
</sst>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0.0"/>
    <numFmt numFmtId="167" formatCode="0.000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8.5"/>
      <name val="Arial Cyr"/>
      <family val="2"/>
    </font>
    <font>
      <sz val="12"/>
      <color indexed="8"/>
      <name val="Times New Roman"/>
      <family val="1"/>
    </font>
    <font>
      <sz val="8.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2"/>
      <color indexed="9"/>
      <name val="Times New Roman"/>
      <family val="1"/>
    </font>
    <font>
      <b/>
      <u val="single"/>
      <sz val="10"/>
      <name val="Arial"/>
      <family val="2"/>
    </font>
    <font>
      <sz val="10"/>
      <color indexed="4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color rgb="FF00B0F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vertical="center" wrapText="1" shrinkToFit="1"/>
      <protection/>
    </xf>
    <xf numFmtId="1" fontId="20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8" borderId="10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 shrinkToFit="1"/>
      <protection/>
    </xf>
    <xf numFmtId="0" fontId="26" fillId="0" borderId="10" xfId="0" applyNumberFormat="1" applyFont="1" applyFill="1" applyBorder="1" applyAlignment="1" applyProtection="1">
      <alignment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 shrinkToFi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vertical="center"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2" fontId="25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26" fillId="0" borderId="10" xfId="0" applyNumberFormat="1" applyFont="1" applyFill="1" applyBorder="1" applyAlignment="1">
      <alignment horizontal="left" vertical="center"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2" fontId="2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2" fontId="20" fillId="0" borderId="0" xfId="0" applyNumberFormat="1" applyFont="1" applyFill="1" applyBorder="1" applyAlignment="1" applyProtection="1">
      <alignment horizontal="center" vertical="center"/>
      <protection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166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 wrapText="1" shrinkToFit="1"/>
      <protection/>
    </xf>
    <xf numFmtId="1" fontId="19" fillId="0" borderId="0" xfId="0" applyNumberFormat="1" applyFont="1" applyFill="1" applyBorder="1" applyAlignment="1" applyProtection="1">
      <alignment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49" fontId="39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 wrapText="1" shrinkToFit="1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left" vertical="center" wrapText="1" shrinkToFit="1"/>
    </xf>
    <xf numFmtId="49" fontId="1" fillId="0" borderId="14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4" fontId="24" fillId="0" borderId="0" xfId="42" applyFont="1" applyFill="1" applyBorder="1" applyAlignment="1" applyProtection="1">
      <alignment horizontal="center" vertical="center" wrapText="1"/>
      <protection/>
    </xf>
    <xf numFmtId="0" fontId="19" fillId="22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left" vertical="top" wrapText="1"/>
      <protection/>
    </xf>
    <xf numFmtId="49" fontId="39" fillId="0" borderId="0" xfId="0" applyNumberFormat="1" applyFont="1" applyBorder="1" applyAlignment="1" applyProtection="1">
      <alignment horizontal="center" vertical="top" wrapText="1"/>
      <protection locked="0"/>
    </xf>
    <xf numFmtId="0" fontId="39" fillId="0" borderId="0" xfId="0" applyFont="1" applyFill="1" applyBorder="1" applyAlignment="1">
      <alignment horizontal="center"/>
    </xf>
    <xf numFmtId="164" fontId="39" fillId="0" borderId="0" xfId="42" applyFont="1" applyFill="1" applyBorder="1" applyAlignment="1" applyProtection="1">
      <alignment horizontal="center" vertical="center" wrapText="1"/>
      <protection/>
    </xf>
    <xf numFmtId="164" fontId="32" fillId="0" borderId="0" xfId="44" applyFont="1" applyFill="1" applyBorder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0" fontId="33" fillId="22" borderId="14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 shrinkToFit="1"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8" borderId="14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 shrinkToFi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34" fillId="0" borderId="14" xfId="0" applyNumberFormat="1" applyFont="1" applyFill="1" applyBorder="1" applyAlignment="1" applyProtection="1">
      <alignment horizontal="center" vertical="center" wrapText="1" shrinkToFit="1"/>
      <protection/>
    </xf>
    <xf numFmtId="1" fontId="34" fillId="0" borderId="14" xfId="0" applyNumberFormat="1" applyFont="1" applyFill="1" applyBorder="1" applyAlignment="1" applyProtection="1">
      <alignment vertical="center" wrapText="1" shrinkToFit="1"/>
      <protection/>
    </xf>
    <xf numFmtId="1" fontId="1" fillId="0" borderId="14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14" xfId="0" applyNumberFormat="1" applyFont="1" applyFill="1" applyBorder="1" applyAlignment="1" applyProtection="1">
      <alignment vertical="center" wrapText="1" shrinkToFi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66" fontId="1" fillId="0" borderId="14" xfId="0" applyNumberFormat="1" applyFont="1" applyFill="1" applyBorder="1" applyAlignment="1" applyProtection="1">
      <alignment horizontal="center" vertical="center"/>
      <protection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left" vertical="center" wrapText="1" shrinkToFi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35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 applyProtection="1">
      <alignment horizontal="center" vertical="center"/>
      <protection/>
    </xf>
    <xf numFmtId="49" fontId="34" fillId="0" borderId="14" xfId="0" applyNumberFormat="1" applyFont="1" applyFill="1" applyBorder="1" applyAlignment="1">
      <alignment horizontal="center" vertical="center" wrapText="1" shrinkToFit="1"/>
    </xf>
    <xf numFmtId="49" fontId="34" fillId="0" borderId="14" xfId="0" applyNumberFormat="1" applyFont="1" applyFill="1" applyBorder="1" applyAlignment="1">
      <alignment vertical="center" wrapText="1" shrinkToFit="1"/>
    </xf>
    <xf numFmtId="49" fontId="34" fillId="0" borderId="14" xfId="0" applyNumberFormat="1" applyFont="1" applyFill="1" applyBorder="1" applyAlignment="1">
      <alignment horizontal="center" vertical="center" wrapText="1" shrinkToFit="1"/>
    </xf>
    <xf numFmtId="49" fontId="35" fillId="0" borderId="14" xfId="0" applyNumberFormat="1" applyFont="1" applyFill="1" applyBorder="1" applyAlignment="1">
      <alignment horizontal="left" vertical="center" wrapText="1"/>
    </xf>
    <xf numFmtId="0" fontId="36" fillId="0" borderId="14" xfId="0" applyNumberFormat="1" applyFont="1" applyFill="1" applyBorder="1" applyAlignment="1" applyProtection="1">
      <alignment horizontal="center" vertical="center"/>
      <protection/>
    </xf>
    <xf numFmtId="0" fontId="1" fillId="24" borderId="14" xfId="0" applyNumberFormat="1" applyFont="1" applyFill="1" applyBorder="1" applyAlignment="1" applyProtection="1">
      <alignment horizontal="center" vertical="center"/>
      <protection/>
    </xf>
    <xf numFmtId="0" fontId="33" fillId="24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1" fontId="1" fillId="0" borderId="14" xfId="0" applyNumberFormat="1" applyFont="1" applyFill="1" applyBorder="1" applyAlignment="1" applyProtection="1">
      <alignment horizontal="center" vertical="top"/>
      <protection/>
    </xf>
    <xf numFmtId="0" fontId="34" fillId="0" borderId="14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14" xfId="0" applyNumberFormat="1" applyFont="1" applyFill="1" applyBorder="1" applyAlignment="1" applyProtection="1">
      <alignment vertical="top"/>
      <protection locked="0"/>
    </xf>
    <xf numFmtId="0" fontId="35" fillId="0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14" xfId="0" applyNumberFormat="1" applyFont="1" applyFill="1" applyBorder="1" applyAlignment="1" applyProtection="1">
      <alignment horizontal="right" vertical="center"/>
      <protection locked="0"/>
    </xf>
    <xf numFmtId="2" fontId="1" fillId="0" borderId="14" xfId="0" applyNumberFormat="1" applyFont="1" applyFill="1" applyBorder="1" applyAlignment="1" applyProtection="1">
      <alignment horizontal="right" vertical="center"/>
      <protection locked="0"/>
    </xf>
    <xf numFmtId="0" fontId="3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14" xfId="0" applyNumberFormat="1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71" t="s">
        <v>1</v>
      </c>
      <c r="B3" s="71"/>
      <c r="C3" s="71"/>
      <c r="D3" s="71"/>
      <c r="E3" s="71"/>
      <c r="F3" s="71"/>
      <c r="G3" s="8"/>
      <c r="H3" s="8"/>
    </row>
    <row r="4" spans="1:8" ht="15.75">
      <c r="A4"/>
      <c r="B4"/>
      <c r="C4" s="9"/>
      <c r="D4" s="72" t="s">
        <v>2</v>
      </c>
      <c r="E4" s="72"/>
      <c r="F4" s="72"/>
      <c r="G4" s="72"/>
      <c r="H4" s="72"/>
    </row>
    <row r="5" spans="1:8" ht="12.75" customHeight="1" hidden="1">
      <c r="A5" s="73"/>
      <c r="B5" s="73"/>
      <c r="C5" s="73"/>
      <c r="D5" s="73"/>
      <c r="E5" s="73"/>
      <c r="F5" s="73"/>
      <c r="G5" s="73"/>
      <c r="H5" s="73"/>
    </row>
    <row r="6" spans="1:8" ht="34.5" customHeight="1">
      <c r="A6" s="74" t="s">
        <v>3</v>
      </c>
      <c r="B6" s="74" t="s">
        <v>4</v>
      </c>
      <c r="C6" s="75" t="s">
        <v>5</v>
      </c>
      <c r="D6" s="76" t="s">
        <v>6</v>
      </c>
      <c r="E6" s="76" t="s">
        <v>7</v>
      </c>
      <c r="F6" s="75" t="s">
        <v>8</v>
      </c>
      <c r="G6" s="11" t="s">
        <v>9</v>
      </c>
      <c r="H6" s="11" t="s">
        <v>10</v>
      </c>
    </row>
    <row r="7" spans="1:8" ht="15" customHeight="1">
      <c r="A7" s="74"/>
      <c r="B7" s="74"/>
      <c r="C7" s="75"/>
      <c r="D7" s="76"/>
      <c r="E7" s="76"/>
      <c r="F7" s="75"/>
      <c r="G7" s="77" t="s">
        <v>11</v>
      </c>
      <c r="H7" s="77"/>
    </row>
    <row r="8" spans="1:8" ht="15.75" customHeight="1">
      <c r="A8" s="74"/>
      <c r="B8" s="74"/>
      <c r="C8" s="75"/>
      <c r="D8" s="76"/>
      <c r="E8" s="76"/>
      <c r="F8" s="75"/>
      <c r="G8" s="77">
        <v>559.4</v>
      </c>
      <c r="H8" s="77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78" t="s">
        <v>25</v>
      </c>
      <c r="B17" s="78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78" t="s">
        <v>31</v>
      </c>
      <c r="B19" s="78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79" t="s">
        <v>46</v>
      </c>
      <c r="B25" s="79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78" t="s">
        <v>55</v>
      </c>
      <c r="B29" s="78"/>
      <c r="C29" s="78"/>
      <c r="D29" s="78"/>
      <c r="E29" s="78"/>
      <c r="F29" s="78"/>
      <c r="G29" s="21">
        <v>9</v>
      </c>
      <c r="H29" s="16"/>
      <c r="I29" s="28"/>
    </row>
    <row r="30" spans="1:8" ht="15.75" customHeight="1">
      <c r="A30" s="78" t="s">
        <v>56</v>
      </c>
      <c r="B30" s="78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78" t="s">
        <v>31</v>
      </c>
      <c r="B47" s="78"/>
      <c r="C47" s="22"/>
      <c r="D47" s="80" t="s">
        <v>98</v>
      </c>
      <c r="E47" s="80"/>
      <c r="F47" s="80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78" t="s">
        <v>101</v>
      </c>
      <c r="B49" s="78"/>
      <c r="C49" s="22"/>
      <c r="D49" s="80" t="s">
        <v>102</v>
      </c>
      <c r="E49" s="80"/>
      <c r="F49" s="80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78" t="s">
        <v>112</v>
      </c>
      <c r="B53" s="78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78" t="s">
        <v>125</v>
      </c>
      <c r="B57" s="78"/>
      <c r="C57" s="78"/>
      <c r="D57" s="78"/>
      <c r="E57" s="78"/>
      <c r="F57" s="78"/>
      <c r="G57" s="21">
        <v>9</v>
      </c>
      <c r="H57" s="16"/>
      <c r="I57" s="28"/>
    </row>
    <row r="58" spans="1:9" ht="15.75" customHeight="1">
      <c r="A58" s="78" t="s">
        <v>126</v>
      </c>
      <c r="B58" s="78"/>
      <c r="C58" s="22"/>
      <c r="D58" s="80" t="s">
        <v>127</v>
      </c>
      <c r="E58" s="80"/>
      <c r="F58" s="80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78" t="s">
        <v>131</v>
      </c>
      <c r="B60" s="78"/>
      <c r="C60" s="22"/>
      <c r="D60" s="80" t="s">
        <v>132</v>
      </c>
      <c r="E60" s="80"/>
      <c r="F60" s="80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78" t="s">
        <v>137</v>
      </c>
      <c r="B62" s="78"/>
      <c r="C62" s="30"/>
      <c r="D62" s="80" t="s">
        <v>138</v>
      </c>
      <c r="E62" s="80"/>
      <c r="F62" s="80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78" t="s">
        <v>150</v>
      </c>
      <c r="B67" s="78"/>
      <c r="C67" s="22"/>
      <c r="D67" s="80" t="s">
        <v>151</v>
      </c>
      <c r="E67" s="80"/>
      <c r="F67" s="80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81" t="s">
        <v>163</v>
      </c>
      <c r="E73" s="81"/>
      <c r="F73" s="81"/>
      <c r="G73" s="81"/>
      <c r="H73" s="81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78" t="s">
        <v>167</v>
      </c>
      <c r="C77" s="78"/>
      <c r="D77" s="78"/>
      <c r="E77" s="78"/>
      <c r="F77" s="78"/>
      <c r="G77" s="42">
        <v>9</v>
      </c>
      <c r="H77" s="36"/>
    </row>
    <row r="78" spans="1:8" ht="12.75" customHeight="1" hidden="1">
      <c r="A78" s="78" t="s">
        <v>25</v>
      </c>
      <c r="B78" s="78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78" t="s">
        <v>56</v>
      </c>
      <c r="B80" s="78"/>
      <c r="C80" s="22"/>
      <c r="D80" s="80" t="s">
        <v>32</v>
      </c>
      <c r="E80" s="80"/>
      <c r="F80" s="80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78" t="s">
        <v>126</v>
      </c>
      <c r="B93" s="78"/>
      <c r="C93" s="22"/>
      <c r="D93" s="80" t="s">
        <v>47</v>
      </c>
      <c r="E93" s="80"/>
      <c r="F93" s="80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78" t="s">
        <v>131</v>
      </c>
      <c r="B95" s="78"/>
      <c r="C95" s="22"/>
      <c r="D95" s="80" t="s">
        <v>192</v>
      </c>
      <c r="E95" s="80"/>
      <c r="F95" s="80"/>
      <c r="G95" s="21">
        <v>9</v>
      </c>
      <c r="H95" s="21"/>
    </row>
    <row r="96" spans="1:8" ht="12.75" customHeight="1" hidden="1">
      <c r="A96" s="24"/>
      <c r="B96" s="78" t="s">
        <v>193</v>
      </c>
      <c r="C96" s="78"/>
      <c r="D96" s="78"/>
      <c r="E96" s="78"/>
      <c r="F96" s="78"/>
      <c r="G96" s="21">
        <v>9</v>
      </c>
      <c r="H96" s="16"/>
    </row>
    <row r="97" spans="1:8" ht="12.75" customHeight="1" hidden="1">
      <c r="A97" s="78" t="s">
        <v>25</v>
      </c>
      <c r="B97" s="78"/>
      <c r="C97" s="22"/>
      <c r="D97" s="80" t="s">
        <v>194</v>
      </c>
      <c r="E97" s="80"/>
      <c r="F97" s="80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78" t="s">
        <v>31</v>
      </c>
      <c r="B100" s="78"/>
      <c r="C100" s="22"/>
      <c r="D100" s="80" t="s">
        <v>199</v>
      </c>
      <c r="E100" s="80"/>
      <c r="F100" s="80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78" t="s">
        <v>55</v>
      </c>
      <c r="B114" s="78"/>
      <c r="C114" s="78"/>
      <c r="D114" s="78"/>
      <c r="E114" s="78"/>
      <c r="F114" s="78"/>
      <c r="G114" s="21">
        <v>9</v>
      </c>
      <c r="H114" s="16"/>
    </row>
    <row r="115" spans="1:8" ht="12.75" customHeight="1" hidden="1">
      <c r="A115" s="78" t="s">
        <v>25</v>
      </c>
      <c r="B115" s="78"/>
      <c r="C115" s="22"/>
      <c r="D115" s="80" t="s">
        <v>57</v>
      </c>
      <c r="E115" s="80"/>
      <c r="F115" s="80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78" t="s">
        <v>31</v>
      </c>
      <c r="B119" s="78"/>
      <c r="C119" s="22"/>
      <c r="D119" s="80" t="s">
        <v>98</v>
      </c>
      <c r="E119" s="80"/>
      <c r="F119" s="80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78" t="s">
        <v>101</v>
      </c>
      <c r="B130" s="78"/>
      <c r="C130" s="22"/>
      <c r="D130" s="80" t="s">
        <v>102</v>
      </c>
      <c r="E130" s="80"/>
      <c r="F130" s="80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78"/>
      <c r="B136" s="78"/>
      <c r="C136" s="22"/>
      <c r="D136" s="80" t="s">
        <v>113</v>
      </c>
      <c r="E136" s="80"/>
      <c r="F136" s="80"/>
      <c r="G136" s="21">
        <v>9</v>
      </c>
      <c r="H136" s="16"/>
    </row>
    <row r="137" spans="1:8" ht="12.75" customHeight="1" hidden="1">
      <c r="A137" s="78" t="s">
        <v>25</v>
      </c>
      <c r="B137" s="78"/>
      <c r="C137" s="22"/>
      <c r="D137" s="80" t="s">
        <v>113</v>
      </c>
      <c r="E137" s="80"/>
      <c r="F137" s="80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78" t="s">
        <v>125</v>
      </c>
      <c r="B148" s="78"/>
      <c r="C148" s="78"/>
      <c r="D148" s="78"/>
      <c r="E148" s="78"/>
      <c r="F148" s="78"/>
      <c r="G148" s="21">
        <v>9</v>
      </c>
      <c r="H148" s="16"/>
    </row>
    <row r="149" spans="1:8" ht="12.75" customHeight="1" hidden="1">
      <c r="A149" s="78" t="s">
        <v>25</v>
      </c>
      <c r="B149" s="78"/>
      <c r="C149" s="22"/>
      <c r="D149" s="80" t="s">
        <v>127</v>
      </c>
      <c r="E149" s="80"/>
      <c r="F149" s="80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78" t="s">
        <v>101</v>
      </c>
      <c r="B159" s="78"/>
      <c r="C159" s="22"/>
      <c r="D159" s="80" t="s">
        <v>138</v>
      </c>
      <c r="E159" s="80"/>
      <c r="F159" s="80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78" t="s">
        <v>46</v>
      </c>
      <c r="B167" s="78"/>
      <c r="C167" s="22"/>
      <c r="D167" s="80" t="s">
        <v>151</v>
      </c>
      <c r="E167" s="80"/>
      <c r="F167" s="80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78" t="s">
        <v>56</v>
      </c>
      <c r="B176" s="78"/>
      <c r="C176" s="22"/>
      <c r="D176" s="80" t="s">
        <v>297</v>
      </c>
      <c r="E176" s="80"/>
      <c r="F176" s="80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  <mergeCell ref="A130:B130"/>
    <mergeCell ref="D130:F130"/>
    <mergeCell ref="A136:B136"/>
    <mergeCell ref="D136:F136"/>
    <mergeCell ref="A137:B137"/>
    <mergeCell ref="D137:F137"/>
    <mergeCell ref="A100:B100"/>
    <mergeCell ref="D100:F100"/>
    <mergeCell ref="A114:F114"/>
    <mergeCell ref="A115:B115"/>
    <mergeCell ref="D115:F115"/>
    <mergeCell ref="A119:B119"/>
    <mergeCell ref="D119:F119"/>
    <mergeCell ref="A93:B93"/>
    <mergeCell ref="D93:F93"/>
    <mergeCell ref="A95:B95"/>
    <mergeCell ref="D95:F95"/>
    <mergeCell ref="B96:F96"/>
    <mergeCell ref="A97:B97"/>
    <mergeCell ref="D97:F97"/>
    <mergeCell ref="A67:B67"/>
    <mergeCell ref="D67:F67"/>
    <mergeCell ref="D73:H73"/>
    <mergeCell ref="B77:F77"/>
    <mergeCell ref="A78:B78"/>
    <mergeCell ref="A80:B80"/>
    <mergeCell ref="D80:F80"/>
    <mergeCell ref="A58:B58"/>
    <mergeCell ref="D58:F58"/>
    <mergeCell ref="A60:B60"/>
    <mergeCell ref="D60:F60"/>
    <mergeCell ref="A62:B62"/>
    <mergeCell ref="D62:F62"/>
    <mergeCell ref="A47:B47"/>
    <mergeCell ref="D47:F47"/>
    <mergeCell ref="A49:B49"/>
    <mergeCell ref="D49:F49"/>
    <mergeCell ref="A53:B53"/>
    <mergeCell ref="A57:F57"/>
    <mergeCell ref="G8:H8"/>
    <mergeCell ref="A17:B17"/>
    <mergeCell ref="A19:B19"/>
    <mergeCell ref="A25:B25"/>
    <mergeCell ref="A29:F29"/>
    <mergeCell ref="A30:B30"/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PageLayoutView="0" workbookViewId="0" topLeftCell="C1">
      <pane ySplit="6" topLeftCell="A72" activePane="bottomLeft" state="frozen"/>
      <selection pane="topLeft" activeCell="A1" sqref="A1"/>
      <selection pane="bottomLeft" activeCell="D84" sqref="D84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5.375" style="3" customWidth="1"/>
    <col min="4" max="4" width="45.75390625" style="4" customWidth="1"/>
    <col min="5" max="5" width="21.625" style="4" customWidth="1"/>
    <col min="6" max="6" width="8.75390625" style="3" customWidth="1"/>
    <col min="7" max="7" width="8.875" style="5" customWidth="1"/>
    <col min="8" max="8" width="9.125" style="5" customWidth="1"/>
    <col min="9" max="9" width="12.75390625" style="6" customWidth="1"/>
    <col min="10" max="10" width="11.00390625" style="6" customWidth="1"/>
    <col min="11" max="11" width="13.125" style="1" customWidth="1"/>
    <col min="12" max="16384" width="9.125" style="1" customWidth="1"/>
  </cols>
  <sheetData>
    <row r="1" spans="1:11" ht="18" customHeight="1">
      <c r="A1" s="44"/>
      <c r="B1" s="3"/>
      <c r="E1" s="59"/>
      <c r="F1" s="59"/>
      <c r="G1" s="44"/>
      <c r="H1" s="44"/>
      <c r="I1" s="44"/>
      <c r="J1" s="44"/>
      <c r="K1" s="44"/>
    </row>
    <row r="2" spans="1:11" ht="18" customHeight="1">
      <c r="A2" s="44"/>
      <c r="B2" s="3"/>
      <c r="C2" s="44"/>
      <c r="D2" s="44"/>
      <c r="E2" s="44"/>
      <c r="K2" s="44"/>
    </row>
    <row r="3" spans="1:11" ht="16.5" customHeight="1">
      <c r="A3" s="60" t="s">
        <v>1</v>
      </c>
      <c r="B3" s="60"/>
      <c r="C3" s="82" t="s">
        <v>360</v>
      </c>
      <c r="D3" s="82"/>
      <c r="E3" s="82"/>
      <c r="F3" s="82"/>
      <c r="G3" s="82"/>
      <c r="H3" s="82"/>
      <c r="I3" s="82"/>
      <c r="J3" s="82"/>
      <c r="K3" s="82"/>
    </row>
    <row r="4" spans="1:11" ht="15.75">
      <c r="A4" s="61"/>
      <c r="B4" s="61"/>
      <c r="C4" s="83" t="s">
        <v>361</v>
      </c>
      <c r="D4" s="83"/>
      <c r="E4" s="83"/>
      <c r="F4" s="83"/>
      <c r="G4" s="53"/>
      <c r="H4" s="53"/>
      <c r="I4" s="53"/>
      <c r="J4" s="53"/>
      <c r="K4" s="53"/>
    </row>
    <row r="5" spans="1:11" ht="15.75" customHeight="1">
      <c r="A5" s="84" t="s">
        <v>362</v>
      </c>
      <c r="B5" s="84"/>
      <c r="C5" s="84"/>
      <c r="D5" s="84"/>
      <c r="E5" s="84"/>
      <c r="F5" s="84"/>
      <c r="G5" s="53"/>
      <c r="H5" s="53"/>
      <c r="I5" s="53"/>
      <c r="J5" s="53"/>
      <c r="K5" s="53"/>
    </row>
    <row r="6" spans="1:11" s="45" customFormat="1" ht="63" customHeight="1">
      <c r="A6" s="90" t="s">
        <v>3</v>
      </c>
      <c r="B6" s="90" t="s">
        <v>4</v>
      </c>
      <c r="C6" s="91" t="s">
        <v>5</v>
      </c>
      <c r="D6" s="92" t="s">
        <v>6</v>
      </c>
      <c r="E6" s="92" t="s">
        <v>7</v>
      </c>
      <c r="F6" s="91" t="s">
        <v>8</v>
      </c>
      <c r="G6" s="93" t="s">
        <v>300</v>
      </c>
      <c r="H6" s="93" t="s">
        <v>301</v>
      </c>
      <c r="I6" s="93" t="s">
        <v>302</v>
      </c>
      <c r="J6" s="93" t="s">
        <v>303</v>
      </c>
      <c r="K6" s="93" t="s">
        <v>304</v>
      </c>
    </row>
    <row r="7" spans="1:11" ht="15.75">
      <c r="A7" s="94">
        <v>1</v>
      </c>
      <c r="B7" s="94">
        <v>2</v>
      </c>
      <c r="C7" s="69">
        <v>1</v>
      </c>
      <c r="D7" s="95">
        <v>2</v>
      </c>
      <c r="E7" s="95">
        <v>3</v>
      </c>
      <c r="F7" s="96">
        <v>4</v>
      </c>
      <c r="G7" s="68">
        <v>5</v>
      </c>
      <c r="H7" s="68">
        <v>6</v>
      </c>
      <c r="I7" s="68">
        <v>7</v>
      </c>
      <c r="J7" s="68">
        <v>8</v>
      </c>
      <c r="K7" s="68">
        <v>9</v>
      </c>
    </row>
    <row r="8" spans="1:11" ht="20.25" customHeight="1">
      <c r="A8" s="94"/>
      <c r="B8" s="94"/>
      <c r="C8" s="97" t="s">
        <v>305</v>
      </c>
      <c r="D8" s="97"/>
      <c r="E8" s="97"/>
      <c r="F8" s="97"/>
      <c r="G8" s="97"/>
      <c r="H8" s="97"/>
      <c r="I8" s="98"/>
      <c r="J8" s="98"/>
      <c r="K8" s="98"/>
    </row>
    <row r="9" spans="1:11" ht="15.75">
      <c r="A9" s="94"/>
      <c r="B9" s="94"/>
      <c r="C9" s="69">
        <v>1</v>
      </c>
      <c r="D9" s="99" t="s">
        <v>306</v>
      </c>
      <c r="E9" s="99" t="s">
        <v>18</v>
      </c>
      <c r="F9" s="96" t="s">
        <v>307</v>
      </c>
      <c r="G9" s="68">
        <v>2</v>
      </c>
      <c r="H9" s="68">
        <v>4</v>
      </c>
      <c r="I9" s="68">
        <f>1200*G9*H9</f>
        <v>9600</v>
      </c>
      <c r="J9" s="68">
        <v>5304.6</v>
      </c>
      <c r="K9" s="70">
        <f>I9/12/5304.6</f>
        <v>0.15081250235644533</v>
      </c>
    </row>
    <row r="10" spans="1:11" ht="15.75">
      <c r="A10" s="69"/>
      <c r="B10" s="69"/>
      <c r="C10" s="69">
        <v>2</v>
      </c>
      <c r="D10" s="100" t="s">
        <v>165</v>
      </c>
      <c r="E10" s="100" t="s">
        <v>16</v>
      </c>
      <c r="F10" s="96" t="s">
        <v>136</v>
      </c>
      <c r="G10" s="68">
        <v>5304.6</v>
      </c>
      <c r="H10" s="68">
        <v>12</v>
      </c>
      <c r="I10" s="69">
        <f>1.25*G10*12</f>
        <v>79569</v>
      </c>
      <c r="J10" s="68">
        <v>5304.6</v>
      </c>
      <c r="K10" s="70">
        <f>I10/12/5304.6</f>
        <v>1.25</v>
      </c>
    </row>
    <row r="11" spans="1:11" ht="15.75">
      <c r="A11" s="69"/>
      <c r="B11" s="69"/>
      <c r="C11" s="69">
        <v>3</v>
      </c>
      <c r="D11" s="100" t="s">
        <v>17</v>
      </c>
      <c r="E11" s="100" t="s">
        <v>18</v>
      </c>
      <c r="F11" s="96" t="s">
        <v>136</v>
      </c>
      <c r="G11" s="68">
        <v>5304.6</v>
      </c>
      <c r="H11" s="68">
        <v>12</v>
      </c>
      <c r="I11" s="69">
        <f>G11*1.27*H11</f>
        <v>80842.104</v>
      </c>
      <c r="J11" s="68">
        <v>5304.6</v>
      </c>
      <c r="K11" s="70">
        <f>I11/12/5304.6</f>
        <v>1.27</v>
      </c>
    </row>
    <row r="12" spans="1:11" ht="18" customHeight="1">
      <c r="A12" s="69"/>
      <c r="B12" s="69"/>
      <c r="C12" s="69">
        <v>4</v>
      </c>
      <c r="D12" s="101" t="s">
        <v>308</v>
      </c>
      <c r="E12" s="101" t="s">
        <v>18</v>
      </c>
      <c r="F12" s="96" t="s">
        <v>309</v>
      </c>
      <c r="G12" s="68">
        <v>117</v>
      </c>
      <c r="H12" s="68">
        <v>1</v>
      </c>
      <c r="I12" s="69">
        <f>J12*0.24*12</f>
        <v>15277.248</v>
      </c>
      <c r="J12" s="68">
        <v>5304.6</v>
      </c>
      <c r="K12" s="70">
        <f>I12/19/5304.6</f>
        <v>0.15157894736842104</v>
      </c>
    </row>
    <row r="13" spans="1:11" ht="15.75">
      <c r="A13" s="69"/>
      <c r="B13" s="69"/>
      <c r="C13" s="69">
        <v>5</v>
      </c>
      <c r="D13" s="100" t="s">
        <v>20</v>
      </c>
      <c r="E13" s="100" t="s">
        <v>21</v>
      </c>
      <c r="F13" s="96" t="s">
        <v>136</v>
      </c>
      <c r="G13" s="102">
        <v>1266.9</v>
      </c>
      <c r="H13" s="68">
        <v>12</v>
      </c>
      <c r="I13" s="69">
        <f>G13*H13*0.26</f>
        <v>3952.7280000000005</v>
      </c>
      <c r="J13" s="68">
        <v>5304.6</v>
      </c>
      <c r="K13" s="70">
        <f>I13/19/5304.6</f>
        <v>0.03921847373778865</v>
      </c>
    </row>
    <row r="14" spans="1:11" ht="15.75">
      <c r="A14" s="69"/>
      <c r="B14" s="69"/>
      <c r="C14" s="69">
        <v>6</v>
      </c>
      <c r="D14" s="100" t="s">
        <v>310</v>
      </c>
      <c r="E14" s="101" t="s">
        <v>18</v>
      </c>
      <c r="F14" s="96" t="s">
        <v>136</v>
      </c>
      <c r="G14" s="68">
        <v>5304.6</v>
      </c>
      <c r="H14" s="68">
        <v>12</v>
      </c>
      <c r="I14" s="69">
        <f>G14*1.85*H14</f>
        <v>117762.12000000002</v>
      </c>
      <c r="J14" s="68">
        <v>5304.6</v>
      </c>
      <c r="K14" s="70">
        <f>I14/J14/12</f>
        <v>1.8500000000000003</v>
      </c>
    </row>
    <row r="15" spans="1:15" ht="15.75" customHeight="1">
      <c r="A15" s="103"/>
      <c r="B15" s="103"/>
      <c r="C15" s="103" t="s">
        <v>311</v>
      </c>
      <c r="D15" s="103"/>
      <c r="E15" s="103"/>
      <c r="F15" s="103"/>
      <c r="G15" s="103"/>
      <c r="H15" s="103"/>
      <c r="I15" s="104"/>
      <c r="J15" s="104"/>
      <c r="K15" s="104"/>
      <c r="O15" s="1">
        <f>J14*15.51*12</f>
        <v>987292.152</v>
      </c>
    </row>
    <row r="16" spans="1:11" ht="25.5">
      <c r="A16" s="69"/>
      <c r="B16" s="69"/>
      <c r="C16" s="69">
        <v>7</v>
      </c>
      <c r="D16" s="101" t="s">
        <v>364</v>
      </c>
      <c r="E16" s="101" t="s">
        <v>13</v>
      </c>
      <c r="F16" s="96" t="s">
        <v>312</v>
      </c>
      <c r="G16" s="68">
        <v>118</v>
      </c>
      <c r="H16" s="68">
        <v>1</v>
      </c>
      <c r="I16" s="69">
        <f>7041.06+1084.38</f>
        <v>8125.4400000000005</v>
      </c>
      <c r="J16" s="68">
        <v>5304.6</v>
      </c>
      <c r="K16" s="70">
        <f>I16/12/5304.6</f>
        <v>0.12764770199449535</v>
      </c>
    </row>
    <row r="17" spans="1:11" ht="15.75">
      <c r="A17" s="69"/>
      <c r="B17" s="69"/>
      <c r="C17" s="69">
        <v>8</v>
      </c>
      <c r="D17" s="101" t="s">
        <v>365</v>
      </c>
      <c r="E17" s="101" t="s">
        <v>13</v>
      </c>
      <c r="F17" s="96" t="s">
        <v>312</v>
      </c>
      <c r="G17" s="68">
        <v>238</v>
      </c>
      <c r="H17" s="68">
        <v>1</v>
      </c>
      <c r="I17" s="69">
        <v>4857.58</v>
      </c>
      <c r="J17" s="68">
        <v>5304.6</v>
      </c>
      <c r="K17" s="70">
        <f>I17/12/5304.6</f>
        <v>0.0763108119996481</v>
      </c>
    </row>
    <row r="18" spans="1:11" ht="15.75">
      <c r="A18" s="105"/>
      <c r="B18" s="105"/>
      <c r="C18" s="105">
        <v>9</v>
      </c>
      <c r="D18" s="106" t="s">
        <v>47</v>
      </c>
      <c r="E18" s="65"/>
      <c r="F18" s="67"/>
      <c r="G18" s="68"/>
      <c r="H18" s="68"/>
      <c r="I18" s="68"/>
      <c r="J18" s="68"/>
      <c r="K18" s="70"/>
    </row>
    <row r="19" spans="1:11" ht="28.5" customHeight="1">
      <c r="A19" s="105">
        <v>918</v>
      </c>
      <c r="B19" s="105" t="s">
        <v>50</v>
      </c>
      <c r="C19" s="69">
        <v>10</v>
      </c>
      <c r="D19" s="65" t="s">
        <v>366</v>
      </c>
      <c r="E19" s="65" t="s">
        <v>68</v>
      </c>
      <c r="F19" s="67" t="s">
        <v>52</v>
      </c>
      <c r="G19" s="68">
        <f>0.62+0.27+0.2</f>
        <v>1.09</v>
      </c>
      <c r="H19" s="68">
        <v>1</v>
      </c>
      <c r="I19" s="69">
        <f>26601.7*G19*2</f>
        <v>57991.706000000006</v>
      </c>
      <c r="J19" s="68">
        <v>5304.6</v>
      </c>
      <c r="K19" s="70">
        <f aca="true" t="shared" si="0" ref="K19:K48">I19/12/5304.6</f>
        <v>0.9110285726853423</v>
      </c>
    </row>
    <row r="20" spans="1:11" ht="28.5" customHeight="1">
      <c r="A20" s="105"/>
      <c r="B20" s="105"/>
      <c r="C20" s="105">
        <v>11</v>
      </c>
      <c r="D20" s="65" t="s">
        <v>377</v>
      </c>
      <c r="E20" s="65" t="s">
        <v>68</v>
      </c>
      <c r="F20" s="67" t="s">
        <v>240</v>
      </c>
      <c r="G20" s="68">
        <v>2</v>
      </c>
      <c r="H20" s="68">
        <v>1</v>
      </c>
      <c r="I20" s="69">
        <v>7284.26</v>
      </c>
      <c r="J20" s="68">
        <v>5304.6</v>
      </c>
      <c r="K20" s="70">
        <f t="shared" si="0"/>
        <v>0.11443307066822506</v>
      </c>
    </row>
    <row r="21" spans="1:11" ht="15" customHeight="1">
      <c r="A21" s="105"/>
      <c r="B21" s="105"/>
      <c r="C21" s="69">
        <v>12</v>
      </c>
      <c r="D21" s="65" t="s">
        <v>379</v>
      </c>
      <c r="E21" s="65" t="s">
        <v>68</v>
      </c>
      <c r="F21" s="67" t="s">
        <v>326</v>
      </c>
      <c r="G21" s="68">
        <v>6</v>
      </c>
      <c r="H21" s="68">
        <v>1</v>
      </c>
      <c r="I21" s="69">
        <v>1680</v>
      </c>
      <c r="J21" s="68">
        <v>5304.6</v>
      </c>
      <c r="K21" s="70">
        <f t="shared" si="0"/>
        <v>0.026392187912377935</v>
      </c>
    </row>
    <row r="22" spans="1:11" ht="15" customHeight="1">
      <c r="A22" s="105"/>
      <c r="B22" s="105"/>
      <c r="C22" s="105">
        <v>13</v>
      </c>
      <c r="D22" s="65" t="s">
        <v>381</v>
      </c>
      <c r="E22" s="65" t="s">
        <v>68</v>
      </c>
      <c r="F22" s="67" t="s">
        <v>382</v>
      </c>
      <c r="G22" s="68">
        <v>13</v>
      </c>
      <c r="H22" s="68">
        <v>1</v>
      </c>
      <c r="I22" s="69">
        <f>183.49*2*G22</f>
        <v>4770.74</v>
      </c>
      <c r="J22" s="68">
        <v>5304.6</v>
      </c>
      <c r="K22" s="70">
        <f t="shared" si="0"/>
        <v>0.07494658723874875</v>
      </c>
    </row>
    <row r="23" spans="1:11" ht="20.25" customHeight="1">
      <c r="A23" s="105"/>
      <c r="B23" s="105"/>
      <c r="C23" s="69">
        <v>14</v>
      </c>
      <c r="D23" s="65" t="s">
        <v>367</v>
      </c>
      <c r="E23" s="65" t="s">
        <v>68</v>
      </c>
      <c r="F23" s="67" t="s">
        <v>136</v>
      </c>
      <c r="G23" s="69">
        <v>49</v>
      </c>
      <c r="H23" s="69">
        <v>3</v>
      </c>
      <c r="I23" s="69">
        <f>15*G23*H23</f>
        <v>2205</v>
      </c>
      <c r="J23" s="68">
        <v>5304.6</v>
      </c>
      <c r="K23" s="70">
        <f t="shared" si="0"/>
        <v>0.03463974663499604</v>
      </c>
    </row>
    <row r="24" spans="1:11" ht="25.5">
      <c r="A24" s="107"/>
      <c r="B24" s="108"/>
      <c r="C24" s="105">
        <v>15</v>
      </c>
      <c r="D24" s="66" t="s">
        <v>380</v>
      </c>
      <c r="E24" s="65" t="s">
        <v>68</v>
      </c>
      <c r="F24" s="67" t="s">
        <v>313</v>
      </c>
      <c r="G24" s="69">
        <v>5.8</v>
      </c>
      <c r="H24" s="88">
        <v>2</v>
      </c>
      <c r="I24" s="89">
        <f>(1119.88+48.58+101)*G24*H24</f>
        <v>14725.736</v>
      </c>
      <c r="J24" s="68">
        <v>5304.6</v>
      </c>
      <c r="K24" s="70">
        <f t="shared" si="0"/>
        <v>0.23133594741670752</v>
      </c>
    </row>
    <row r="25" spans="1:11" ht="15.75">
      <c r="A25" s="107"/>
      <c r="B25" s="108"/>
      <c r="C25" s="107"/>
      <c r="D25" s="109" t="s">
        <v>314</v>
      </c>
      <c r="E25" s="107"/>
      <c r="F25" s="107"/>
      <c r="G25" s="107"/>
      <c r="H25" s="107"/>
      <c r="I25" s="107"/>
      <c r="J25" s="68"/>
      <c r="K25" s="70"/>
    </row>
    <row r="26" spans="1:11" ht="25.5">
      <c r="A26" s="107"/>
      <c r="B26" s="108"/>
      <c r="C26" s="110" t="s">
        <v>359</v>
      </c>
      <c r="D26" s="66" t="s">
        <v>385</v>
      </c>
      <c r="E26" s="65" t="s">
        <v>68</v>
      </c>
      <c r="F26" s="110" t="s">
        <v>52</v>
      </c>
      <c r="G26" s="110" t="s">
        <v>386</v>
      </c>
      <c r="H26" s="110" t="s">
        <v>387</v>
      </c>
      <c r="I26" s="69">
        <v>2254.34</v>
      </c>
      <c r="J26" s="68">
        <v>5304.6</v>
      </c>
      <c r="K26" s="70">
        <f t="shared" si="0"/>
        <v>0.03541486005856552</v>
      </c>
    </row>
    <row r="27" spans="1:11" ht="25.5">
      <c r="A27" s="107"/>
      <c r="B27" s="108"/>
      <c r="C27" s="110" t="s">
        <v>397</v>
      </c>
      <c r="D27" s="66" t="s">
        <v>389</v>
      </c>
      <c r="E27" s="65" t="s">
        <v>390</v>
      </c>
      <c r="F27" s="110" t="s">
        <v>52</v>
      </c>
      <c r="G27" s="110" t="s">
        <v>391</v>
      </c>
      <c r="H27" s="110"/>
      <c r="I27" s="69">
        <f>110284.1*G27</f>
        <v>4411.3640000000005</v>
      </c>
      <c r="J27" s="68">
        <v>5304.6</v>
      </c>
      <c r="K27" s="70">
        <f t="shared" si="0"/>
        <v>0.06930092121303523</v>
      </c>
    </row>
    <row r="28" spans="1:11" ht="38.25" customHeight="1">
      <c r="A28" s="105">
        <v>1</v>
      </c>
      <c r="B28" s="105" t="s">
        <v>27</v>
      </c>
      <c r="C28" s="105">
        <v>18</v>
      </c>
      <c r="D28" s="65" t="s">
        <v>316</v>
      </c>
      <c r="E28" s="65" t="s">
        <v>315</v>
      </c>
      <c r="F28" s="67" t="s">
        <v>317</v>
      </c>
      <c r="G28" s="68">
        <v>300</v>
      </c>
      <c r="H28" s="68"/>
      <c r="I28" s="69">
        <v>69000</v>
      </c>
      <c r="J28" s="68">
        <v>5304.6</v>
      </c>
      <c r="K28" s="70">
        <f t="shared" si="0"/>
        <v>1.083964860686951</v>
      </c>
    </row>
    <row r="29" spans="1:11" ht="16.5" customHeight="1">
      <c r="A29" s="105"/>
      <c r="B29" s="105"/>
      <c r="C29" s="105"/>
      <c r="D29" s="106" t="s">
        <v>32</v>
      </c>
      <c r="E29" s="65"/>
      <c r="F29" s="67"/>
      <c r="G29" s="111"/>
      <c r="H29" s="68"/>
      <c r="I29" s="68"/>
      <c r="J29" s="68"/>
      <c r="K29" s="70"/>
    </row>
    <row r="30" spans="1:11" ht="30" customHeight="1">
      <c r="A30" s="105">
        <v>5</v>
      </c>
      <c r="B30" s="105" t="s">
        <v>38</v>
      </c>
      <c r="C30" s="105">
        <v>19</v>
      </c>
      <c r="D30" s="65" t="s">
        <v>39</v>
      </c>
      <c r="E30" s="65" t="s">
        <v>60</v>
      </c>
      <c r="F30" s="67" t="s">
        <v>40</v>
      </c>
      <c r="G30" s="68">
        <v>0.2</v>
      </c>
      <c r="H30" s="68">
        <v>2</v>
      </c>
      <c r="I30" s="69">
        <f>260.34*G30*H30*10</f>
        <v>1041.36</v>
      </c>
      <c r="J30" s="68">
        <v>5304.6</v>
      </c>
      <c r="K30" s="70">
        <f t="shared" si="0"/>
        <v>0.016359386193115406</v>
      </c>
    </row>
    <row r="31" spans="1:11" ht="25.5">
      <c r="A31" s="105"/>
      <c r="B31" s="105"/>
      <c r="C31" s="105">
        <v>20</v>
      </c>
      <c r="D31" s="65" t="s">
        <v>318</v>
      </c>
      <c r="E31" s="65" t="s">
        <v>60</v>
      </c>
      <c r="F31" s="67" t="s">
        <v>170</v>
      </c>
      <c r="G31" s="68">
        <v>2</v>
      </c>
      <c r="H31" s="68">
        <v>2</v>
      </c>
      <c r="I31" s="69">
        <f>11303/23*G31</f>
        <v>982.8695652173913</v>
      </c>
      <c r="J31" s="68">
        <v>5304.6</v>
      </c>
      <c r="K31" s="70">
        <f t="shared" si="0"/>
        <v>0.015440522772961065</v>
      </c>
    </row>
    <row r="32" spans="1:11" ht="25.5">
      <c r="A32" s="105"/>
      <c r="B32" s="105"/>
      <c r="C32" s="105">
        <v>21</v>
      </c>
      <c r="D32" s="65" t="s">
        <v>320</v>
      </c>
      <c r="E32" s="65" t="s">
        <v>60</v>
      </c>
      <c r="F32" s="67" t="s">
        <v>136</v>
      </c>
      <c r="G32" s="68">
        <v>2.4</v>
      </c>
      <c r="H32" s="68">
        <v>2</v>
      </c>
      <c r="I32" s="69">
        <f>63.45*1.8*G32*H32*2</f>
        <v>1096.416</v>
      </c>
      <c r="J32" s="68">
        <v>5304.6</v>
      </c>
      <c r="K32" s="70">
        <f t="shared" si="0"/>
        <v>0.01722429589412962</v>
      </c>
    </row>
    <row r="33" spans="1:11" ht="22.5" customHeight="1">
      <c r="A33" s="105"/>
      <c r="B33" s="105"/>
      <c r="C33" s="112" t="s">
        <v>321</v>
      </c>
      <c r="D33" s="112"/>
      <c r="E33" s="112"/>
      <c r="F33" s="112"/>
      <c r="G33" s="112"/>
      <c r="H33" s="112"/>
      <c r="I33" s="113"/>
      <c r="J33" s="113"/>
      <c r="K33" s="70"/>
    </row>
    <row r="34" spans="1:11" ht="18" customHeight="1">
      <c r="A34" s="105"/>
      <c r="B34" s="105"/>
      <c r="C34" s="105"/>
      <c r="D34" s="106" t="s">
        <v>322</v>
      </c>
      <c r="E34" s="114"/>
      <c r="F34" s="114"/>
      <c r="G34" s="114"/>
      <c r="H34" s="114"/>
      <c r="I34" s="114"/>
      <c r="J34" s="114"/>
      <c r="K34" s="70"/>
    </row>
    <row r="35" spans="1:11" ht="15.75" hidden="1">
      <c r="A35" s="105"/>
      <c r="B35" s="105"/>
      <c r="C35" s="105">
        <v>23</v>
      </c>
      <c r="D35" s="65" t="s">
        <v>323</v>
      </c>
      <c r="E35" s="65" t="s">
        <v>21</v>
      </c>
      <c r="F35" s="67" t="s">
        <v>309</v>
      </c>
      <c r="G35" s="68"/>
      <c r="H35" s="68">
        <v>3</v>
      </c>
      <c r="I35" s="69"/>
      <c r="J35" s="102">
        <v>5304.6</v>
      </c>
      <c r="K35" s="70">
        <f t="shared" si="0"/>
        <v>0</v>
      </c>
    </row>
    <row r="36" spans="1:11" ht="25.5">
      <c r="A36" s="105">
        <v>20</v>
      </c>
      <c r="B36" s="105"/>
      <c r="C36" s="105">
        <v>22</v>
      </c>
      <c r="D36" s="65" t="s">
        <v>363</v>
      </c>
      <c r="E36" s="65" t="s">
        <v>324</v>
      </c>
      <c r="F36" s="67" t="s">
        <v>319</v>
      </c>
      <c r="G36" s="68">
        <v>1</v>
      </c>
      <c r="H36" s="68">
        <v>12</v>
      </c>
      <c r="I36" s="69">
        <f>79.8*H36</f>
        <v>957.5999999999999</v>
      </c>
      <c r="J36" s="102">
        <v>5304.6</v>
      </c>
      <c r="K36" s="70">
        <f t="shared" si="0"/>
        <v>0.015043547110055422</v>
      </c>
    </row>
    <row r="37" spans="1:11" ht="52.5" customHeight="1">
      <c r="A37" s="103" t="s">
        <v>56</v>
      </c>
      <c r="B37" s="103"/>
      <c r="C37" s="105">
        <v>23</v>
      </c>
      <c r="D37" s="66" t="s">
        <v>372</v>
      </c>
      <c r="E37" s="65" t="s">
        <v>325</v>
      </c>
      <c r="F37" s="68" t="s">
        <v>309</v>
      </c>
      <c r="G37" s="68"/>
      <c r="H37" s="68"/>
      <c r="I37" s="69">
        <f>(485+42.42+42.82+52.19+64+292.15*2+903.83+3876.46+92.57+542.75+262.31+129.97+16.28+82.48+779.15+170+123.01+229.2+85.29+51.04+34.93+807.01)*2+24201.49</f>
        <v>43115.51000000001</v>
      </c>
      <c r="J37" s="102">
        <v>5304.6</v>
      </c>
      <c r="K37" s="70">
        <f t="shared" si="0"/>
        <v>0.6773289534869108</v>
      </c>
    </row>
    <row r="38" spans="1:11" ht="27.75" customHeight="1">
      <c r="A38" s="105">
        <v>22</v>
      </c>
      <c r="B38" s="105" t="s">
        <v>58</v>
      </c>
      <c r="C38" s="105">
        <v>24</v>
      </c>
      <c r="D38" s="66" t="s">
        <v>378</v>
      </c>
      <c r="E38" s="65" t="s">
        <v>60</v>
      </c>
      <c r="F38" s="67" t="s">
        <v>317</v>
      </c>
      <c r="G38" s="68">
        <v>12</v>
      </c>
      <c r="H38" s="68">
        <v>1</v>
      </c>
      <c r="I38" s="69">
        <f>8911.11*2</f>
        <v>17822.22</v>
      </c>
      <c r="J38" s="102">
        <v>5304.6</v>
      </c>
      <c r="K38" s="70">
        <f t="shared" si="0"/>
        <v>0.2799805828903216</v>
      </c>
    </row>
    <row r="39" spans="1:11" ht="25.5">
      <c r="A39" s="105"/>
      <c r="B39" s="105"/>
      <c r="C39" s="105">
        <v>25</v>
      </c>
      <c r="D39" s="66" t="s">
        <v>383</v>
      </c>
      <c r="E39" s="65" t="s">
        <v>158</v>
      </c>
      <c r="F39" s="67" t="s">
        <v>317</v>
      </c>
      <c r="G39" s="68">
        <v>195</v>
      </c>
      <c r="H39" s="68">
        <v>1</v>
      </c>
      <c r="I39" s="69">
        <v>388091.14</v>
      </c>
      <c r="J39" s="102">
        <v>5304.6</v>
      </c>
      <c r="K39" s="70">
        <f t="shared" si="0"/>
        <v>6.096770413100579</v>
      </c>
    </row>
    <row r="40" spans="1:11" ht="25.5">
      <c r="A40" s="105"/>
      <c r="B40" s="105"/>
      <c r="C40" s="105">
        <v>26</v>
      </c>
      <c r="D40" s="66" t="s">
        <v>384</v>
      </c>
      <c r="E40" s="65" t="s">
        <v>60</v>
      </c>
      <c r="F40" s="67" t="s">
        <v>326</v>
      </c>
      <c r="G40" s="68">
        <v>4</v>
      </c>
      <c r="H40" s="68">
        <v>1</v>
      </c>
      <c r="I40" s="69">
        <v>13659.88</v>
      </c>
      <c r="J40" s="102">
        <v>5304.6</v>
      </c>
      <c r="K40" s="70">
        <f t="shared" si="0"/>
        <v>0.21459173798841255</v>
      </c>
    </row>
    <row r="41" spans="1:11" ht="19.5" customHeight="1">
      <c r="A41" s="105">
        <v>66</v>
      </c>
      <c r="B41" s="105" t="s">
        <v>82</v>
      </c>
      <c r="C41" s="105">
        <v>27</v>
      </c>
      <c r="D41" s="66" t="s">
        <v>100</v>
      </c>
      <c r="E41" s="66" t="s">
        <v>68</v>
      </c>
      <c r="F41" s="67" t="s">
        <v>326</v>
      </c>
      <c r="G41" s="68">
        <v>84</v>
      </c>
      <c r="H41" s="68">
        <v>12</v>
      </c>
      <c r="I41" s="69">
        <f>5184.04*6</f>
        <v>31104.239999999998</v>
      </c>
      <c r="J41" s="102">
        <v>5304.6</v>
      </c>
      <c r="K41" s="70">
        <f t="shared" si="0"/>
        <v>0.4886362779474418</v>
      </c>
    </row>
    <row r="42" spans="1:11" ht="20.25" customHeight="1">
      <c r="A42" s="105">
        <v>73</v>
      </c>
      <c r="B42" s="105" t="s">
        <v>86</v>
      </c>
      <c r="C42" s="105">
        <v>28</v>
      </c>
      <c r="D42" s="66" t="s">
        <v>327</v>
      </c>
      <c r="E42" s="66" t="s">
        <v>23</v>
      </c>
      <c r="F42" s="67">
        <v>1</v>
      </c>
      <c r="G42" s="68"/>
      <c r="H42" s="68">
        <v>1</v>
      </c>
      <c r="I42" s="69">
        <v>17581.42</v>
      </c>
      <c r="J42" s="102">
        <v>5304.6</v>
      </c>
      <c r="K42" s="70">
        <f t="shared" si="0"/>
        <v>0.27619770262288074</v>
      </c>
    </row>
    <row r="43" spans="1:11" ht="27.75" customHeight="1">
      <c r="A43" s="105">
        <v>84</v>
      </c>
      <c r="B43" s="105" t="s">
        <v>91</v>
      </c>
      <c r="C43" s="105">
        <v>29</v>
      </c>
      <c r="D43" s="66" t="s">
        <v>92</v>
      </c>
      <c r="E43" s="66" t="s">
        <v>68</v>
      </c>
      <c r="F43" s="67" t="s">
        <v>74</v>
      </c>
      <c r="G43" s="68">
        <v>30</v>
      </c>
      <c r="H43" s="68">
        <v>1</v>
      </c>
      <c r="I43" s="68">
        <f>99.7*G43</f>
        <v>2991</v>
      </c>
      <c r="J43" s="102">
        <v>5304.6</v>
      </c>
      <c r="K43" s="70">
        <f t="shared" si="0"/>
        <v>0.04698752026543</v>
      </c>
    </row>
    <row r="44" spans="1:11" ht="24.75" customHeight="1">
      <c r="A44" s="105">
        <v>87</v>
      </c>
      <c r="B44" s="105" t="s">
        <v>93</v>
      </c>
      <c r="C44" s="105">
        <v>30</v>
      </c>
      <c r="D44" s="66" t="s">
        <v>393</v>
      </c>
      <c r="E44" s="66" t="s">
        <v>23</v>
      </c>
      <c r="F44" s="67" t="s">
        <v>111</v>
      </c>
      <c r="G44" s="68">
        <v>3</v>
      </c>
      <c r="H44" s="68">
        <v>2</v>
      </c>
      <c r="I44" s="69">
        <f>548.7*3*2</f>
        <v>3292.2000000000003</v>
      </c>
      <c r="J44" s="102">
        <v>5304.6</v>
      </c>
      <c r="K44" s="70">
        <f t="shared" si="0"/>
        <v>0.05171926252686348</v>
      </c>
    </row>
    <row r="45" spans="1:11" ht="26.25" customHeight="1">
      <c r="A45" s="105"/>
      <c r="B45" s="105"/>
      <c r="C45" s="105">
        <v>31</v>
      </c>
      <c r="D45" s="66" t="s">
        <v>328</v>
      </c>
      <c r="E45" s="65" t="s">
        <v>158</v>
      </c>
      <c r="F45" s="67" t="s">
        <v>329</v>
      </c>
      <c r="G45" s="68">
        <v>2</v>
      </c>
      <c r="H45" s="68">
        <v>1</v>
      </c>
      <c r="I45" s="68">
        <f>137518*2</f>
        <v>275036</v>
      </c>
      <c r="J45" s="102">
        <v>5304.6</v>
      </c>
      <c r="K45" s="70">
        <f t="shared" si="0"/>
        <v>4.3207153539695105</v>
      </c>
    </row>
    <row r="46" spans="1:11" ht="15.75" customHeight="1">
      <c r="A46" s="103" t="s">
        <v>101</v>
      </c>
      <c r="B46" s="103"/>
      <c r="C46" s="108"/>
      <c r="D46" s="115" t="s">
        <v>102</v>
      </c>
      <c r="E46" s="115"/>
      <c r="F46" s="115"/>
      <c r="G46" s="116">
        <v>9</v>
      </c>
      <c r="H46" s="116"/>
      <c r="I46" s="68"/>
      <c r="J46" s="69"/>
      <c r="K46" s="70"/>
    </row>
    <row r="47" spans="1:11" ht="51.75" customHeight="1">
      <c r="A47" s="105">
        <v>712</v>
      </c>
      <c r="B47" s="105" t="s">
        <v>103</v>
      </c>
      <c r="C47" s="105">
        <v>32</v>
      </c>
      <c r="D47" s="65" t="s">
        <v>357</v>
      </c>
      <c r="E47" s="66" t="s">
        <v>325</v>
      </c>
      <c r="F47" s="67"/>
      <c r="G47" s="68"/>
      <c r="H47" s="68">
        <v>12</v>
      </c>
      <c r="I47" s="69">
        <f>(105.44+12.85+37.71+2764.32+51+415.11+89.84+53.25+119.99+104.14+283.77+869.42+2787.04+474.18+138.49+400.63+1027.03+138.49+4155.21+191.56+400.63+1027.03)*2+25795.74</f>
        <v>57090</v>
      </c>
      <c r="J47" s="102">
        <v>5304.6</v>
      </c>
      <c r="K47" s="70">
        <f t="shared" si="0"/>
        <v>0.8968630999509859</v>
      </c>
    </row>
    <row r="48" spans="1:11" ht="27" customHeight="1">
      <c r="A48" s="105">
        <v>730</v>
      </c>
      <c r="B48" s="105" t="s">
        <v>109</v>
      </c>
      <c r="C48" s="105">
        <v>33</v>
      </c>
      <c r="D48" s="65" t="s">
        <v>110</v>
      </c>
      <c r="E48" s="65" t="s">
        <v>21</v>
      </c>
      <c r="F48" s="67" t="s">
        <v>111</v>
      </c>
      <c r="G48" s="68"/>
      <c r="H48" s="68">
        <v>12</v>
      </c>
      <c r="I48" s="69">
        <f>161.22*H48</f>
        <v>1934.6399999999999</v>
      </c>
      <c r="J48" s="102">
        <v>5304.6</v>
      </c>
      <c r="K48" s="70">
        <f t="shared" si="0"/>
        <v>0.030392489537382647</v>
      </c>
    </row>
    <row r="49" spans="1:11" ht="15.75" customHeight="1">
      <c r="A49" s="103" t="s">
        <v>112</v>
      </c>
      <c r="B49" s="103"/>
      <c r="C49" s="103" t="s">
        <v>113</v>
      </c>
      <c r="D49" s="103"/>
      <c r="E49" s="103"/>
      <c r="F49" s="103"/>
      <c r="G49" s="103"/>
      <c r="H49" s="103"/>
      <c r="I49" s="104"/>
      <c r="J49" s="104"/>
      <c r="K49" s="104"/>
    </row>
    <row r="50" spans="1:11" ht="38.25">
      <c r="A50" s="107"/>
      <c r="B50" s="108"/>
      <c r="C50" s="68">
        <v>34</v>
      </c>
      <c r="D50" s="66" t="s">
        <v>374</v>
      </c>
      <c r="E50" s="66" t="s">
        <v>116</v>
      </c>
      <c r="F50" s="68" t="s">
        <v>142</v>
      </c>
      <c r="G50" s="117">
        <v>1.2669</v>
      </c>
      <c r="H50" s="118">
        <v>4</v>
      </c>
      <c r="I50" s="69">
        <f>1270.33*G50*H50*2</f>
        <v>12875.048615999998</v>
      </c>
      <c r="J50" s="102">
        <v>5304.6</v>
      </c>
      <c r="K50" s="70">
        <f>I50/12/5304.6</f>
        <v>0.2022623228895675</v>
      </c>
    </row>
    <row r="51" spans="1:11" ht="36.75">
      <c r="A51" s="107"/>
      <c r="B51" s="108"/>
      <c r="C51" s="68">
        <v>35</v>
      </c>
      <c r="D51" s="66" t="s">
        <v>392</v>
      </c>
      <c r="E51" s="66" t="s">
        <v>68</v>
      </c>
      <c r="F51" s="68" t="s">
        <v>309</v>
      </c>
      <c r="G51" s="117">
        <v>32</v>
      </c>
      <c r="H51" s="118">
        <v>12</v>
      </c>
      <c r="I51" s="69">
        <f>109.84*G51</f>
        <v>3514.88</v>
      </c>
      <c r="J51" s="102">
        <v>5304.6</v>
      </c>
      <c r="K51" s="70">
        <f aca="true" t="shared" si="1" ref="K51:K56">I51/12/5304.6</f>
        <v>0.055217484196106524</v>
      </c>
    </row>
    <row r="52" spans="1:11" ht="29.25" customHeight="1">
      <c r="A52" s="105">
        <v>90</v>
      </c>
      <c r="B52" s="105" t="s">
        <v>114</v>
      </c>
      <c r="C52" s="68">
        <v>36</v>
      </c>
      <c r="D52" s="65" t="s">
        <v>115</v>
      </c>
      <c r="E52" s="65" t="s">
        <v>116</v>
      </c>
      <c r="F52" s="67" t="s">
        <v>117</v>
      </c>
      <c r="G52" s="68">
        <v>40</v>
      </c>
      <c r="H52" s="68">
        <v>4</v>
      </c>
      <c r="I52" s="69">
        <f>852.45*2*G52*4/100</f>
        <v>2727.84</v>
      </c>
      <c r="J52" s="102">
        <v>5304.6</v>
      </c>
      <c r="K52" s="70">
        <f t="shared" si="1"/>
        <v>0.04285337254458395</v>
      </c>
    </row>
    <row r="53" spans="1:11" ht="29.25" customHeight="1">
      <c r="A53" s="105"/>
      <c r="B53" s="105"/>
      <c r="C53" s="68">
        <v>37</v>
      </c>
      <c r="D53" s="65" t="s">
        <v>330</v>
      </c>
      <c r="E53" s="65" t="s">
        <v>116</v>
      </c>
      <c r="F53" s="67" t="s">
        <v>331</v>
      </c>
      <c r="G53" s="68">
        <v>1.2669</v>
      </c>
      <c r="H53" s="68">
        <v>4</v>
      </c>
      <c r="I53" s="68">
        <f>904</f>
        <v>904</v>
      </c>
      <c r="J53" s="102">
        <v>5304.6</v>
      </c>
      <c r="K53" s="70">
        <f t="shared" si="1"/>
        <v>0.014201510638565269</v>
      </c>
    </row>
    <row r="54" spans="1:11" ht="18.75" customHeight="1">
      <c r="A54" s="105">
        <v>92</v>
      </c>
      <c r="B54" s="105" t="s">
        <v>118</v>
      </c>
      <c r="C54" s="68">
        <v>38</v>
      </c>
      <c r="D54" s="65" t="s">
        <v>119</v>
      </c>
      <c r="E54" s="65" t="s">
        <v>116</v>
      </c>
      <c r="F54" s="67" t="s">
        <v>120</v>
      </c>
      <c r="G54" s="68">
        <v>0.01</v>
      </c>
      <c r="H54" s="68">
        <v>6</v>
      </c>
      <c r="I54" s="69">
        <f>2957.4*G54*H54</f>
        <v>177.44400000000002</v>
      </c>
      <c r="J54" s="102">
        <v>5304.6</v>
      </c>
      <c r="K54" s="70">
        <f t="shared" si="1"/>
        <v>0.0027875805904309468</v>
      </c>
    </row>
    <row r="55" spans="1:11" ht="21" customHeight="1">
      <c r="A55" s="105"/>
      <c r="B55" s="105"/>
      <c r="C55" s="68">
        <v>39</v>
      </c>
      <c r="D55" s="65" t="s">
        <v>368</v>
      </c>
      <c r="E55" s="65" t="s">
        <v>123</v>
      </c>
      <c r="F55" s="67" t="s">
        <v>136</v>
      </c>
      <c r="G55" s="68">
        <v>1872</v>
      </c>
      <c r="H55" s="68">
        <v>2</v>
      </c>
      <c r="I55" s="69">
        <f>0.5*G55*H55</f>
        <v>1872</v>
      </c>
      <c r="J55" s="102">
        <v>5304.6</v>
      </c>
      <c r="K55" s="70">
        <f t="shared" si="1"/>
        <v>0.02940843795950684</v>
      </c>
    </row>
    <row r="56" spans="1:11" ht="28.5" customHeight="1">
      <c r="A56" s="105"/>
      <c r="B56" s="105"/>
      <c r="C56" s="68">
        <v>40</v>
      </c>
      <c r="D56" s="65" t="s">
        <v>332</v>
      </c>
      <c r="E56" s="65" t="s">
        <v>333</v>
      </c>
      <c r="F56" s="67" t="s">
        <v>142</v>
      </c>
      <c r="G56" s="70">
        <v>5.304</v>
      </c>
      <c r="H56" s="69">
        <v>1</v>
      </c>
      <c r="I56" s="69">
        <f>16278/2</f>
        <v>8139</v>
      </c>
      <c r="J56" s="102">
        <v>5304.6</v>
      </c>
      <c r="K56" s="70">
        <f t="shared" si="1"/>
        <v>0.1278607246540738</v>
      </c>
    </row>
    <row r="57" spans="1:11" ht="15.75" customHeight="1">
      <c r="A57" s="103" t="s">
        <v>126</v>
      </c>
      <c r="B57" s="103"/>
      <c r="C57" s="103" t="s">
        <v>127</v>
      </c>
      <c r="D57" s="103"/>
      <c r="E57" s="103"/>
      <c r="F57" s="103"/>
      <c r="G57" s="103"/>
      <c r="H57" s="103"/>
      <c r="I57" s="104"/>
      <c r="J57" s="104"/>
      <c r="K57" s="104"/>
    </row>
    <row r="58" spans="1:11" ht="28.5" customHeight="1">
      <c r="A58" s="105"/>
      <c r="B58" s="105"/>
      <c r="C58" s="105">
        <v>41</v>
      </c>
      <c r="D58" s="65" t="s">
        <v>369</v>
      </c>
      <c r="E58" s="65" t="s">
        <v>130</v>
      </c>
      <c r="F58" s="67" t="s">
        <v>136</v>
      </c>
      <c r="G58" s="68">
        <v>164.4</v>
      </c>
      <c r="H58" s="68">
        <v>120</v>
      </c>
      <c r="I58" s="69">
        <f>1.4*G58*H58</f>
        <v>27619.2</v>
      </c>
      <c r="J58" s="102">
        <v>5304.6</v>
      </c>
      <c r="K58" s="70">
        <f>I58/12/5304.6</f>
        <v>0.43388756927949323</v>
      </c>
    </row>
    <row r="59" spans="1:11" ht="15.75" customHeight="1">
      <c r="A59" s="103" t="s">
        <v>137</v>
      </c>
      <c r="B59" s="103"/>
      <c r="C59" s="103" t="s">
        <v>138</v>
      </c>
      <c r="D59" s="103"/>
      <c r="E59" s="103"/>
      <c r="F59" s="103"/>
      <c r="G59" s="103"/>
      <c r="H59" s="103"/>
      <c r="I59" s="104"/>
      <c r="J59" s="104"/>
      <c r="K59" s="104"/>
    </row>
    <row r="60" spans="1:11" ht="29.25" customHeight="1">
      <c r="A60" s="105">
        <v>112</v>
      </c>
      <c r="B60" s="105" t="s">
        <v>139</v>
      </c>
      <c r="C60" s="105">
        <v>42</v>
      </c>
      <c r="D60" s="66" t="s">
        <v>140</v>
      </c>
      <c r="E60" s="66" t="s">
        <v>141</v>
      </c>
      <c r="F60" s="67" t="s">
        <v>142</v>
      </c>
      <c r="G60" s="68">
        <v>0.32</v>
      </c>
      <c r="H60" s="68">
        <v>156</v>
      </c>
      <c r="I60" s="69">
        <f>0.24*G60*H60*1000</f>
        <v>11980.8</v>
      </c>
      <c r="J60" s="102">
        <v>5304.6</v>
      </c>
      <c r="K60" s="70">
        <f>I60/12/5304.6</f>
        <v>0.18821400294084378</v>
      </c>
    </row>
    <row r="61" spans="1:11" ht="21.75" customHeight="1">
      <c r="A61" s="105">
        <v>114</v>
      </c>
      <c r="B61" s="105" t="s">
        <v>143</v>
      </c>
      <c r="C61" s="105">
        <v>43</v>
      </c>
      <c r="D61" s="65" t="s">
        <v>144</v>
      </c>
      <c r="E61" s="65" t="s">
        <v>141</v>
      </c>
      <c r="F61" s="67" t="s">
        <v>142</v>
      </c>
      <c r="G61" s="69">
        <v>0.12</v>
      </c>
      <c r="H61" s="68">
        <v>156</v>
      </c>
      <c r="I61" s="69">
        <f>0.1*G61*H61*1000</f>
        <v>1872</v>
      </c>
      <c r="J61" s="102">
        <v>5304.6</v>
      </c>
      <c r="K61" s="70">
        <f aca="true" t="shared" si="2" ref="K61:K69">I61/12/5304.6</f>
        <v>0.02940843795950684</v>
      </c>
    </row>
    <row r="62" spans="1:11" ht="26.25" customHeight="1">
      <c r="A62" s="105">
        <v>121</v>
      </c>
      <c r="B62" s="105" t="s">
        <v>145</v>
      </c>
      <c r="C62" s="105">
        <v>44</v>
      </c>
      <c r="D62" s="119" t="s">
        <v>376</v>
      </c>
      <c r="E62" s="65" t="s">
        <v>130</v>
      </c>
      <c r="F62" s="67" t="s">
        <v>142</v>
      </c>
      <c r="G62" s="70">
        <v>2.48</v>
      </c>
      <c r="H62" s="69">
        <v>72</v>
      </c>
      <c r="I62" s="69">
        <f>0.08*G62*H62*1000</f>
        <v>14284.8</v>
      </c>
      <c r="J62" s="102">
        <v>5304.6</v>
      </c>
      <c r="K62" s="70">
        <f t="shared" si="2"/>
        <v>0.22440900350639065</v>
      </c>
    </row>
    <row r="63" spans="1:11" ht="20.25" customHeight="1">
      <c r="A63" s="105">
        <v>122</v>
      </c>
      <c r="B63" s="105" t="s">
        <v>147</v>
      </c>
      <c r="C63" s="105">
        <v>45</v>
      </c>
      <c r="D63" s="65" t="s">
        <v>148</v>
      </c>
      <c r="E63" s="65" t="s">
        <v>334</v>
      </c>
      <c r="F63" s="67" t="s">
        <v>142</v>
      </c>
      <c r="G63" s="68">
        <v>2.48</v>
      </c>
      <c r="H63" s="68">
        <v>2</v>
      </c>
      <c r="I63" s="69">
        <f>0.8*G63*H63*1000</f>
        <v>3968</v>
      </c>
      <c r="J63" s="102">
        <v>5304.6</v>
      </c>
      <c r="K63" s="70">
        <f t="shared" si="2"/>
        <v>0.062335834307330744</v>
      </c>
    </row>
    <row r="64" spans="1:11" ht="15.75">
      <c r="A64" s="105"/>
      <c r="B64" s="105"/>
      <c r="C64" s="105">
        <v>46</v>
      </c>
      <c r="D64" s="65" t="s">
        <v>279</v>
      </c>
      <c r="E64" s="65" t="s">
        <v>141</v>
      </c>
      <c r="F64" s="67" t="s">
        <v>136</v>
      </c>
      <c r="G64" s="69">
        <v>92.16</v>
      </c>
      <c r="H64" s="68">
        <v>156</v>
      </c>
      <c r="I64" s="69">
        <f>0.14*H64*G64</f>
        <v>2012.7744000000002</v>
      </c>
      <c r="J64" s="102">
        <v>5304.6</v>
      </c>
      <c r="K64" s="70">
        <f t="shared" si="2"/>
        <v>0.031619952494061764</v>
      </c>
    </row>
    <row r="65" spans="1:11" ht="15.75">
      <c r="A65" s="105"/>
      <c r="B65" s="105"/>
      <c r="C65" s="105">
        <v>47</v>
      </c>
      <c r="D65" s="65" t="s">
        <v>283</v>
      </c>
      <c r="E65" s="65" t="s">
        <v>123</v>
      </c>
      <c r="F65" s="67" t="s">
        <v>142</v>
      </c>
      <c r="G65" s="68">
        <v>2.48</v>
      </c>
      <c r="H65" s="68">
        <v>2</v>
      </c>
      <c r="I65" s="69">
        <f>1200*G65*H65</f>
        <v>5952</v>
      </c>
      <c r="J65" s="102">
        <v>5304.6</v>
      </c>
      <c r="K65" s="70">
        <f t="shared" si="2"/>
        <v>0.09350375146099611</v>
      </c>
    </row>
    <row r="66" spans="1:11" ht="25.5">
      <c r="A66" s="105"/>
      <c r="B66" s="105"/>
      <c r="C66" s="105">
        <v>48</v>
      </c>
      <c r="D66" s="65" t="s">
        <v>285</v>
      </c>
      <c r="E66" s="108" t="s">
        <v>123</v>
      </c>
      <c r="F66" s="120" t="s">
        <v>142</v>
      </c>
      <c r="G66" s="68">
        <v>2.48</v>
      </c>
      <c r="H66" s="68">
        <v>2</v>
      </c>
      <c r="I66" s="69">
        <v>1442</v>
      </c>
      <c r="J66" s="102">
        <v>5304.6</v>
      </c>
      <c r="K66" s="70">
        <f t="shared" si="2"/>
        <v>0.02265329462479106</v>
      </c>
    </row>
    <row r="67" spans="1:11" ht="25.5">
      <c r="A67" s="105"/>
      <c r="B67" s="105"/>
      <c r="C67" s="105">
        <v>49</v>
      </c>
      <c r="D67" s="65" t="s">
        <v>335</v>
      </c>
      <c r="E67" s="108" t="s">
        <v>68</v>
      </c>
      <c r="F67" s="120" t="s">
        <v>288</v>
      </c>
      <c r="G67" s="68"/>
      <c r="H67" s="68">
        <v>6</v>
      </c>
      <c r="I67" s="69">
        <v>10390</v>
      </c>
      <c r="J67" s="102">
        <v>5304.6</v>
      </c>
      <c r="K67" s="70">
        <f t="shared" si="2"/>
        <v>0.16322311452952784</v>
      </c>
    </row>
    <row r="68" spans="1:11" ht="25.5">
      <c r="A68" s="105"/>
      <c r="B68" s="105"/>
      <c r="C68" s="105">
        <v>50</v>
      </c>
      <c r="D68" s="121" t="s">
        <v>375</v>
      </c>
      <c r="E68" s="108" t="s">
        <v>16</v>
      </c>
      <c r="F68" s="120" t="s">
        <v>136</v>
      </c>
      <c r="G68" s="68">
        <v>9.2</v>
      </c>
      <c r="H68" s="68">
        <v>156</v>
      </c>
      <c r="I68" s="69">
        <f>1.56*G68*H68</f>
        <v>2238.912</v>
      </c>
      <c r="J68" s="102">
        <v>5304.6</v>
      </c>
      <c r="K68" s="70">
        <f t="shared" si="2"/>
        <v>0.03517249179957018</v>
      </c>
    </row>
    <row r="69" spans="1:11" ht="25.5">
      <c r="A69" s="122"/>
      <c r="B69" s="123"/>
      <c r="C69" s="105">
        <v>51</v>
      </c>
      <c r="D69" s="121" t="s">
        <v>356</v>
      </c>
      <c r="E69" s="121" t="s">
        <v>141</v>
      </c>
      <c r="F69" s="123" t="s">
        <v>142</v>
      </c>
      <c r="G69" s="68"/>
      <c r="H69" s="68"/>
      <c r="I69" s="69">
        <v>7134.66</v>
      </c>
      <c r="J69" s="102">
        <v>5304.6</v>
      </c>
      <c r="K69" s="70">
        <f t="shared" si="2"/>
        <v>0.11208290917317044</v>
      </c>
    </row>
    <row r="70" spans="1:11" ht="15.75" customHeight="1">
      <c r="A70" s="103" t="s">
        <v>150</v>
      </c>
      <c r="B70" s="103"/>
      <c r="C70" s="103" t="s">
        <v>151</v>
      </c>
      <c r="D70" s="103"/>
      <c r="E70" s="103"/>
      <c r="F70" s="103"/>
      <c r="G70" s="103"/>
      <c r="H70" s="103"/>
      <c r="I70" s="104"/>
      <c r="J70" s="104"/>
      <c r="K70" s="104"/>
    </row>
    <row r="71" spans="1:11" ht="24" customHeight="1">
      <c r="A71" s="105">
        <v>125</v>
      </c>
      <c r="B71" s="105" t="s">
        <v>152</v>
      </c>
      <c r="C71" s="105">
        <v>52</v>
      </c>
      <c r="D71" s="66" t="s">
        <v>336</v>
      </c>
      <c r="E71" s="66" t="s">
        <v>337</v>
      </c>
      <c r="F71" s="67" t="s">
        <v>142</v>
      </c>
      <c r="G71" s="68">
        <v>0.32</v>
      </c>
      <c r="H71" s="68">
        <v>36</v>
      </c>
      <c r="I71" s="69">
        <f>0.97*G71*H71*1000</f>
        <v>11174.4</v>
      </c>
      <c r="J71" s="102">
        <v>5304.6</v>
      </c>
      <c r="K71" s="70">
        <f>I71/12/5304.6</f>
        <v>0.17554575274290235</v>
      </c>
    </row>
    <row r="72" spans="1:11" ht="24.75" customHeight="1">
      <c r="A72" s="105">
        <v>132</v>
      </c>
      <c r="B72" s="105" t="s">
        <v>154</v>
      </c>
      <c r="C72" s="105">
        <v>53</v>
      </c>
      <c r="D72" s="66" t="s">
        <v>338</v>
      </c>
      <c r="E72" s="66" t="s">
        <v>337</v>
      </c>
      <c r="F72" s="67" t="s">
        <v>142</v>
      </c>
      <c r="G72" s="70">
        <v>0.32</v>
      </c>
      <c r="H72" s="69">
        <v>72</v>
      </c>
      <c r="I72" s="69">
        <f>1.02*H72*G72*1000</f>
        <v>23500.8</v>
      </c>
      <c r="J72" s="102">
        <v>5304.6</v>
      </c>
      <c r="K72" s="70">
        <f aca="true" t="shared" si="3" ref="K72:K81">I72/12/5304.6</f>
        <v>0.36918900576857816</v>
      </c>
    </row>
    <row r="73" spans="1:11" ht="25.5">
      <c r="A73" s="122"/>
      <c r="B73" s="123" t="s">
        <v>156</v>
      </c>
      <c r="C73" s="105">
        <v>54</v>
      </c>
      <c r="D73" s="121" t="s">
        <v>290</v>
      </c>
      <c r="E73" s="121" t="s">
        <v>339</v>
      </c>
      <c r="F73" s="123" t="s">
        <v>142</v>
      </c>
      <c r="G73" s="70">
        <v>0.32</v>
      </c>
      <c r="H73" s="69">
        <f>6*8</f>
        <v>48</v>
      </c>
      <c r="I73" s="69">
        <f>1.62*H73*G73*1000</f>
        <v>24883.2</v>
      </c>
      <c r="J73" s="102">
        <v>5304.6</v>
      </c>
      <c r="K73" s="70">
        <f t="shared" si="3"/>
        <v>0.3909060061079063</v>
      </c>
    </row>
    <row r="74" spans="1:11" ht="25.5">
      <c r="A74" s="122"/>
      <c r="B74" s="123"/>
      <c r="C74" s="105">
        <v>55</v>
      </c>
      <c r="D74" s="121" t="s">
        <v>340</v>
      </c>
      <c r="E74" s="121" t="s">
        <v>68</v>
      </c>
      <c r="F74" s="123" t="s">
        <v>142</v>
      </c>
      <c r="G74" s="123"/>
      <c r="H74" s="123"/>
      <c r="I74" s="124">
        <v>167</v>
      </c>
      <c r="J74" s="102">
        <v>5304.6</v>
      </c>
      <c r="K74" s="70">
        <f t="shared" si="3"/>
        <v>0.0026235091555756635</v>
      </c>
    </row>
    <row r="75" spans="1:11" ht="25.5">
      <c r="A75" s="122"/>
      <c r="B75" s="123"/>
      <c r="C75" s="105">
        <v>56</v>
      </c>
      <c r="D75" s="121" t="s">
        <v>370</v>
      </c>
      <c r="E75" s="121" t="s">
        <v>16</v>
      </c>
      <c r="F75" s="123" t="s">
        <v>136</v>
      </c>
      <c r="G75" s="68">
        <v>9.2</v>
      </c>
      <c r="H75" s="68">
        <v>156</v>
      </c>
      <c r="I75" s="69">
        <f>1.59*H75*G75</f>
        <v>2281.968</v>
      </c>
      <c r="J75" s="102">
        <v>5304.6</v>
      </c>
      <c r="K75" s="70">
        <f t="shared" si="3"/>
        <v>0.03584888587263884</v>
      </c>
    </row>
    <row r="76" spans="1:11" ht="25.5">
      <c r="A76" s="122"/>
      <c r="B76" s="123"/>
      <c r="C76" s="105">
        <v>57</v>
      </c>
      <c r="D76" s="121" t="s">
        <v>341</v>
      </c>
      <c r="E76" s="121" t="s">
        <v>337</v>
      </c>
      <c r="F76" s="123" t="s">
        <v>142</v>
      </c>
      <c r="G76" s="68"/>
      <c r="H76" s="68"/>
      <c r="I76" s="69">
        <f>5136.95*6</f>
        <v>30821.699999999997</v>
      </c>
      <c r="J76" s="102">
        <v>5304.6</v>
      </c>
      <c r="K76" s="70">
        <f t="shared" si="3"/>
        <v>0.4841976774874637</v>
      </c>
    </row>
    <row r="77" spans="1:11" ht="15.75" customHeight="1">
      <c r="A77" s="108"/>
      <c r="B77" s="68"/>
      <c r="C77" s="125" t="s">
        <v>297</v>
      </c>
      <c r="D77" s="125"/>
      <c r="E77" s="125"/>
      <c r="F77" s="125"/>
      <c r="G77" s="125"/>
      <c r="H77" s="125"/>
      <c r="I77" s="126"/>
      <c r="J77" s="126"/>
      <c r="K77" s="70"/>
    </row>
    <row r="78" spans="1:11" ht="15.75">
      <c r="A78" s="108"/>
      <c r="B78" s="68"/>
      <c r="C78" s="105">
        <v>58</v>
      </c>
      <c r="D78" s="127" t="s">
        <v>371</v>
      </c>
      <c r="E78" s="100" t="s">
        <v>123</v>
      </c>
      <c r="F78" s="68" t="s">
        <v>52</v>
      </c>
      <c r="G78" s="102">
        <f>12.996</f>
        <v>12.996</v>
      </c>
      <c r="H78" s="102"/>
      <c r="I78" s="69">
        <f>3033/8.3232*G78</f>
        <v>4735.782871972318</v>
      </c>
      <c r="J78" s="102">
        <v>5304.6</v>
      </c>
      <c r="K78" s="70">
        <f t="shared" si="3"/>
        <v>0.07439742349363945</v>
      </c>
    </row>
    <row r="79" spans="1:11" ht="25.5">
      <c r="A79" s="108"/>
      <c r="B79" s="68"/>
      <c r="C79" s="105">
        <v>59</v>
      </c>
      <c r="D79" s="100" t="s">
        <v>358</v>
      </c>
      <c r="E79" s="100" t="s">
        <v>342</v>
      </c>
      <c r="F79" s="68" t="s">
        <v>288</v>
      </c>
      <c r="G79" s="102">
        <v>0.3</v>
      </c>
      <c r="H79" s="69">
        <v>12</v>
      </c>
      <c r="I79" s="69">
        <f>24482/10</f>
        <v>2448.2</v>
      </c>
      <c r="J79" s="102">
        <v>5304.6</v>
      </c>
      <c r="K79" s="70">
        <f t="shared" si="3"/>
        <v>0.038460330028025985</v>
      </c>
    </row>
    <row r="80" spans="1:11" ht="25.5" customHeight="1">
      <c r="A80" s="108"/>
      <c r="B80" s="68"/>
      <c r="C80" s="105">
        <v>60</v>
      </c>
      <c r="D80" s="100" t="s">
        <v>388</v>
      </c>
      <c r="E80" s="100" t="s">
        <v>342</v>
      </c>
      <c r="F80" s="68" t="s">
        <v>111</v>
      </c>
      <c r="G80" s="69">
        <v>1</v>
      </c>
      <c r="H80" s="69">
        <v>1</v>
      </c>
      <c r="I80" s="69">
        <v>9775.2</v>
      </c>
      <c r="J80" s="102">
        <v>5304.6</v>
      </c>
      <c r="K80" s="70">
        <f t="shared" si="3"/>
        <v>0.15356483052445047</v>
      </c>
    </row>
    <row r="81" spans="1:11" ht="25.5">
      <c r="A81" s="108"/>
      <c r="B81" s="68"/>
      <c r="C81" s="105">
        <v>61</v>
      </c>
      <c r="D81" s="100" t="s">
        <v>373</v>
      </c>
      <c r="E81" s="100" t="s">
        <v>342</v>
      </c>
      <c r="F81" s="68" t="s">
        <v>111</v>
      </c>
      <c r="G81" s="102">
        <v>1</v>
      </c>
      <c r="H81" s="69"/>
      <c r="I81" s="69">
        <v>2243.64</v>
      </c>
      <c r="J81" s="102">
        <v>5304.6</v>
      </c>
      <c r="K81" s="70">
        <f t="shared" si="3"/>
        <v>0.03524676695698073</v>
      </c>
    </row>
    <row r="82" spans="1:11" s="47" customFormat="1" ht="13.5" customHeight="1">
      <c r="A82" s="128"/>
      <c r="B82" s="129" t="s">
        <v>355</v>
      </c>
      <c r="C82" s="129"/>
      <c r="D82" s="129"/>
      <c r="E82" s="100"/>
      <c r="F82" s="68"/>
      <c r="G82" s="130"/>
      <c r="H82" s="130"/>
      <c r="I82" s="69">
        <f>SUM(I9:I81)</f>
        <v>1571243.111453189</v>
      </c>
      <c r="J82" s="69"/>
      <c r="K82" s="131">
        <f>SUM(K10:K79)</f>
        <v>24.232734222077536</v>
      </c>
    </row>
    <row r="83" spans="1:11" s="47" customFormat="1" ht="12.75">
      <c r="A83" s="128"/>
      <c r="B83" s="132"/>
      <c r="C83" s="132"/>
      <c r="D83" s="133" t="s">
        <v>343</v>
      </c>
      <c r="E83" s="100"/>
      <c r="F83" s="68"/>
      <c r="G83" s="130"/>
      <c r="H83" s="130"/>
      <c r="I83" s="130"/>
      <c r="J83" s="130"/>
      <c r="K83" s="131"/>
    </row>
    <row r="84" spans="1:11" s="47" customFormat="1" ht="25.5">
      <c r="A84" s="128"/>
      <c r="B84" s="132"/>
      <c r="C84" s="132"/>
      <c r="D84" s="133" t="s">
        <v>164</v>
      </c>
      <c r="E84" s="131"/>
      <c r="F84" s="68"/>
      <c r="G84" s="130"/>
      <c r="H84" s="130"/>
      <c r="I84" s="130"/>
      <c r="J84" s="130"/>
      <c r="K84" s="131">
        <f>K82-K85</f>
        <v>22.982734222077536</v>
      </c>
    </row>
    <row r="85" spans="1:11" s="47" customFormat="1" ht="12.75">
      <c r="A85" s="128"/>
      <c r="B85" s="132"/>
      <c r="C85" s="132"/>
      <c r="D85" s="134" t="s">
        <v>344</v>
      </c>
      <c r="E85" s="131"/>
      <c r="F85" s="68"/>
      <c r="G85" s="130"/>
      <c r="H85" s="130"/>
      <c r="I85" s="130"/>
      <c r="J85" s="130"/>
      <c r="K85" s="131">
        <v>1.25</v>
      </c>
    </row>
    <row r="86" spans="1:11" ht="15.75">
      <c r="A86" s="53"/>
      <c r="B86" s="54"/>
      <c r="C86" s="54"/>
      <c r="D86" s="62"/>
      <c r="E86" s="62"/>
      <c r="F86" s="54"/>
      <c r="G86" s="63"/>
      <c r="H86" s="63"/>
      <c r="I86" s="64"/>
      <c r="J86" s="64"/>
      <c r="K86" s="53"/>
    </row>
    <row r="87" spans="1:11" ht="15.75">
      <c r="A87" s="44"/>
      <c r="B87" s="3"/>
      <c r="K87" s="44"/>
    </row>
    <row r="88" spans="3:10" ht="23.25" customHeight="1">
      <c r="C88" s="2"/>
      <c r="D88" s="55"/>
      <c r="E88" s="87" t="s">
        <v>394</v>
      </c>
      <c r="F88" s="87"/>
      <c r="G88" s="87"/>
      <c r="H88" s="87"/>
      <c r="I88" s="87"/>
      <c r="J88" s="57"/>
    </row>
    <row r="89" spans="3:10" ht="20.25" customHeight="1">
      <c r="C89" s="2"/>
      <c r="D89" s="55"/>
      <c r="E89" s="87" t="s">
        <v>396</v>
      </c>
      <c r="F89" s="87"/>
      <c r="G89" s="87"/>
      <c r="H89" s="87"/>
      <c r="I89" s="87"/>
      <c r="J89" s="57"/>
    </row>
    <row r="90" spans="3:10" ht="20.25" customHeight="1">
      <c r="C90" s="2"/>
      <c r="D90" s="55"/>
      <c r="E90" s="87" t="s">
        <v>395</v>
      </c>
      <c r="F90" s="87"/>
      <c r="G90" s="87"/>
      <c r="H90" s="87"/>
      <c r="I90" s="57"/>
      <c r="J90" s="57"/>
    </row>
    <row r="91" spans="3:10" ht="15.75">
      <c r="C91" s="2"/>
      <c r="D91" s="55"/>
      <c r="E91" s="55"/>
      <c r="F91" s="58"/>
      <c r="G91" s="56"/>
      <c r="H91" s="56"/>
      <c r="I91" s="57"/>
      <c r="J91" s="57"/>
    </row>
    <row r="92" spans="3:10" ht="15.75">
      <c r="C92" s="2"/>
      <c r="D92" s="55"/>
      <c r="E92" s="55"/>
      <c r="F92" s="2"/>
      <c r="G92" s="56"/>
      <c r="H92" s="56"/>
      <c r="I92" s="57"/>
      <c r="J92" s="57"/>
    </row>
    <row r="93" spans="3:10" ht="15.75">
      <c r="C93" s="2"/>
      <c r="D93" s="55"/>
      <c r="E93" s="55"/>
      <c r="F93" s="2"/>
      <c r="G93" s="56"/>
      <c r="H93" s="56"/>
      <c r="I93" s="57"/>
      <c r="J93" s="57"/>
    </row>
    <row r="94" spans="3:10" ht="15.75">
      <c r="C94" s="2"/>
      <c r="D94" s="55"/>
      <c r="E94" s="55"/>
      <c r="F94" s="2"/>
      <c r="G94" s="56"/>
      <c r="H94" s="56"/>
      <c r="I94" s="57"/>
      <c r="J94" s="57"/>
    </row>
    <row r="95" spans="3:10" ht="15.75">
      <c r="C95" s="2"/>
      <c r="D95" s="55"/>
      <c r="E95" s="55"/>
      <c r="F95" s="2"/>
      <c r="G95" s="56"/>
      <c r="H95" s="56"/>
      <c r="I95" s="57"/>
      <c r="J95" s="57"/>
    </row>
    <row r="96" spans="3:10" ht="15.75">
      <c r="C96" s="2"/>
      <c r="D96" s="55"/>
      <c r="E96" s="55"/>
      <c r="F96" s="2"/>
      <c r="G96" s="56"/>
      <c r="H96" s="56"/>
      <c r="I96" s="57"/>
      <c r="J96" s="57"/>
    </row>
    <row r="97" spans="3:10" ht="15.75">
      <c r="C97" s="2"/>
      <c r="D97" s="55"/>
      <c r="E97" s="55"/>
      <c r="F97" s="2"/>
      <c r="G97" s="56"/>
      <c r="H97" s="56"/>
      <c r="I97" s="57"/>
      <c r="J97" s="57"/>
    </row>
    <row r="98" spans="3:10" ht="15.75">
      <c r="C98" s="2"/>
      <c r="D98" s="55"/>
      <c r="E98" s="55"/>
      <c r="F98" s="2"/>
      <c r="G98" s="56"/>
      <c r="H98" s="56"/>
      <c r="I98" s="57"/>
      <c r="J98" s="57"/>
    </row>
    <row r="99" spans="3:10" ht="15.75">
      <c r="C99" s="2"/>
      <c r="D99" s="55"/>
      <c r="E99" s="55"/>
      <c r="F99" s="2"/>
      <c r="G99" s="56"/>
      <c r="H99" s="56"/>
      <c r="I99" s="57"/>
      <c r="J99" s="57"/>
    </row>
    <row r="100" spans="3:10" ht="15.75">
      <c r="C100" s="2"/>
      <c r="D100" s="55"/>
      <c r="E100" s="55"/>
      <c r="F100" s="2"/>
      <c r="G100" s="56"/>
      <c r="H100" s="56"/>
      <c r="I100" s="57"/>
      <c r="J100" s="57"/>
    </row>
    <row r="101" spans="3:10" ht="15.75">
      <c r="C101" s="2"/>
      <c r="D101" s="55"/>
      <c r="E101" s="55"/>
      <c r="F101" s="2"/>
      <c r="G101" s="56"/>
      <c r="H101" s="56"/>
      <c r="I101" s="57"/>
      <c r="J101" s="57"/>
    </row>
    <row r="102" spans="3:10" ht="15.75">
      <c r="C102" s="2"/>
      <c r="D102" s="55"/>
      <c r="E102" s="55"/>
      <c r="F102" s="2"/>
      <c r="G102" s="56"/>
      <c r="H102" s="56"/>
      <c r="I102" s="57"/>
      <c r="J102" s="57"/>
    </row>
    <row r="103" spans="3:10" ht="15.75">
      <c r="C103" s="2"/>
      <c r="D103" s="55"/>
      <c r="E103" s="55"/>
      <c r="F103" s="2"/>
      <c r="G103" s="56"/>
      <c r="H103" s="56"/>
      <c r="I103" s="57"/>
      <c r="J103" s="57"/>
    </row>
    <row r="104" spans="3:10" ht="15.75">
      <c r="C104" s="2"/>
      <c r="D104" s="55"/>
      <c r="E104" s="55"/>
      <c r="F104" s="2"/>
      <c r="G104" s="56"/>
      <c r="H104" s="56"/>
      <c r="I104" s="57"/>
      <c r="J104" s="57"/>
    </row>
    <row r="105" spans="3:10" ht="15.75">
      <c r="C105" s="2"/>
      <c r="D105" s="55"/>
      <c r="E105" s="55"/>
      <c r="F105" s="2"/>
      <c r="G105" s="56"/>
      <c r="H105" s="56"/>
      <c r="I105" s="57"/>
      <c r="J105" s="57"/>
    </row>
    <row r="106" spans="3:10" ht="15.75">
      <c r="C106" s="2"/>
      <c r="D106" s="55"/>
      <c r="E106" s="55"/>
      <c r="F106" s="2"/>
      <c r="G106" s="56"/>
      <c r="H106" s="56"/>
      <c r="I106" s="57"/>
      <c r="J106" s="57"/>
    </row>
    <row r="107" spans="3:10" ht="15.75">
      <c r="C107" s="2"/>
      <c r="D107" s="55"/>
      <c r="E107" s="55"/>
      <c r="F107" s="2"/>
      <c r="G107" s="56"/>
      <c r="H107" s="56"/>
      <c r="I107" s="57"/>
      <c r="J107" s="57"/>
    </row>
    <row r="108" spans="3:10" ht="15.75">
      <c r="C108" s="2"/>
      <c r="D108" s="55"/>
      <c r="E108" s="55"/>
      <c r="F108" s="2"/>
      <c r="G108" s="56"/>
      <c r="H108" s="56"/>
      <c r="I108" s="57"/>
      <c r="J108" s="57"/>
    </row>
    <row r="109" spans="3:10" ht="15.75">
      <c r="C109" s="2"/>
      <c r="D109" s="55"/>
      <c r="E109" s="55"/>
      <c r="F109" s="2"/>
      <c r="G109" s="56"/>
      <c r="H109" s="56"/>
      <c r="I109" s="57"/>
      <c r="J109" s="57"/>
    </row>
    <row r="110" spans="3:10" ht="15.75">
      <c r="C110" s="2"/>
      <c r="D110" s="55"/>
      <c r="E110" s="55"/>
      <c r="F110" s="2"/>
      <c r="G110" s="56"/>
      <c r="H110" s="56"/>
      <c r="I110" s="57"/>
      <c r="J110" s="57"/>
    </row>
    <row r="111" spans="3:10" ht="15.75">
      <c r="C111" s="2"/>
      <c r="D111" s="55"/>
      <c r="E111" s="55"/>
      <c r="F111" s="2"/>
      <c r="G111" s="56"/>
      <c r="H111" s="56"/>
      <c r="I111" s="57"/>
      <c r="J111" s="57"/>
    </row>
    <row r="112" spans="3:10" ht="15.75">
      <c r="C112" s="2"/>
      <c r="D112" s="55"/>
      <c r="E112" s="55"/>
      <c r="F112" s="2"/>
      <c r="G112" s="56"/>
      <c r="H112" s="56"/>
      <c r="I112" s="57"/>
      <c r="J112" s="57"/>
    </row>
    <row r="113" spans="3:10" ht="15.75">
      <c r="C113" s="2"/>
      <c r="D113" s="55"/>
      <c r="E113" s="55"/>
      <c r="F113" s="2"/>
      <c r="G113" s="56"/>
      <c r="H113" s="56"/>
      <c r="I113" s="57"/>
      <c r="J113" s="57"/>
    </row>
    <row r="114" spans="3:10" ht="15.75">
      <c r="C114" s="2"/>
      <c r="D114" s="55"/>
      <c r="E114" s="55"/>
      <c r="F114" s="2"/>
      <c r="G114" s="56"/>
      <c r="H114" s="56"/>
      <c r="I114" s="57"/>
      <c r="J114" s="57"/>
    </row>
    <row r="115" spans="3:10" ht="15.75">
      <c r="C115" s="2"/>
      <c r="D115" s="55"/>
      <c r="E115" s="55"/>
      <c r="F115" s="2"/>
      <c r="G115" s="56"/>
      <c r="H115" s="56"/>
      <c r="I115" s="57"/>
      <c r="J115" s="57"/>
    </row>
    <row r="116" spans="3:10" ht="15.75">
      <c r="C116" s="2"/>
      <c r="D116" s="55"/>
      <c r="E116" s="55"/>
      <c r="F116" s="2"/>
      <c r="G116" s="56"/>
      <c r="H116" s="56"/>
      <c r="I116" s="57"/>
      <c r="J116" s="57"/>
    </row>
    <row r="117" spans="3:10" ht="15.75">
      <c r="C117" s="2"/>
      <c r="D117" s="55"/>
      <c r="E117" s="55"/>
      <c r="F117" s="58"/>
      <c r="G117" s="56"/>
      <c r="H117" s="56"/>
      <c r="I117" s="57"/>
      <c r="J117" s="57"/>
    </row>
    <row r="118" spans="3:10" ht="15.75">
      <c r="C118" s="2"/>
      <c r="D118" s="55"/>
      <c r="E118" s="55"/>
      <c r="F118" s="2"/>
      <c r="G118" s="56"/>
      <c r="H118" s="56"/>
      <c r="I118" s="57"/>
      <c r="J118" s="57"/>
    </row>
    <row r="119" spans="3:10" ht="15.75">
      <c r="C119" s="2"/>
      <c r="D119" s="55"/>
      <c r="E119" s="55"/>
      <c r="F119" s="2"/>
      <c r="G119" s="56"/>
      <c r="H119" s="56"/>
      <c r="I119" s="57"/>
      <c r="J119" s="57"/>
    </row>
    <row r="120" spans="3:10" ht="15.75">
      <c r="C120" s="2"/>
      <c r="D120" s="55"/>
      <c r="E120" s="55"/>
      <c r="F120" s="2"/>
      <c r="G120" s="56"/>
      <c r="H120" s="56"/>
      <c r="I120" s="57"/>
      <c r="J120" s="57"/>
    </row>
    <row r="121" spans="3:10" ht="15.75">
      <c r="C121" s="2"/>
      <c r="D121" s="55"/>
      <c r="E121" s="55"/>
      <c r="F121" s="2"/>
      <c r="G121" s="56"/>
      <c r="H121" s="56"/>
      <c r="I121" s="57"/>
      <c r="J121" s="57"/>
    </row>
    <row r="122" spans="3:10" ht="15.75">
      <c r="C122" s="2"/>
      <c r="D122" s="55"/>
      <c r="E122" s="55"/>
      <c r="F122" s="2"/>
      <c r="G122" s="56"/>
      <c r="H122" s="56"/>
      <c r="I122" s="57"/>
      <c r="J122" s="57"/>
    </row>
    <row r="123" spans="3:10" ht="15.75">
      <c r="C123" s="2"/>
      <c r="D123" s="55"/>
      <c r="E123" s="55"/>
      <c r="F123" s="2"/>
      <c r="G123" s="56"/>
      <c r="H123" s="56"/>
      <c r="I123" s="57"/>
      <c r="J123" s="57"/>
    </row>
    <row r="131" ht="15.75">
      <c r="F131" s="48"/>
    </row>
    <row r="140" ht="15.75">
      <c r="F140" s="48"/>
    </row>
    <row r="146" ht="15.75">
      <c r="F146" s="48"/>
    </row>
    <row r="149" ht="15.75">
      <c r="F149" s="48"/>
    </row>
    <row r="152" ht="15.75">
      <c r="F152" s="49"/>
    </row>
    <row r="160" ht="15.75">
      <c r="F160" s="48"/>
    </row>
    <row r="162" ht="15.75">
      <c r="F162" s="50"/>
    </row>
    <row r="164" ht="15.75">
      <c r="F164" s="51"/>
    </row>
    <row r="165" ht="15.75">
      <c r="F165" s="51"/>
    </row>
    <row r="168" ht="15.75">
      <c r="F168" s="5"/>
    </row>
    <row r="169" ht="15.75">
      <c r="F169" s="52"/>
    </row>
    <row r="170" ht="15.75">
      <c r="F170" s="6"/>
    </row>
    <row r="171" ht="15.75">
      <c r="F171" s="6"/>
    </row>
    <row r="172" ht="15.75">
      <c r="F172" s="6"/>
    </row>
    <row r="173" ht="15.75">
      <c r="F173" s="6"/>
    </row>
    <row r="174" ht="15.75">
      <c r="F174" s="6"/>
    </row>
    <row r="175" ht="15.75">
      <c r="F175" s="6"/>
    </row>
    <row r="176" ht="15.75">
      <c r="F176" s="6"/>
    </row>
    <row r="177" ht="15.75">
      <c r="F177" s="6"/>
    </row>
    <row r="178" ht="15.75">
      <c r="F178" s="6"/>
    </row>
    <row r="179" ht="15.75">
      <c r="F179" s="6"/>
    </row>
    <row r="180" ht="15.75">
      <c r="F180" s="6"/>
    </row>
    <row r="181" ht="15.75">
      <c r="F181" s="6"/>
    </row>
    <row r="182" ht="15.75">
      <c r="F182" s="6"/>
    </row>
    <row r="183" ht="15.75">
      <c r="F183" s="6"/>
    </row>
    <row r="184" ht="15.75">
      <c r="F184" s="6"/>
    </row>
    <row r="185" ht="15.75">
      <c r="F185" s="6"/>
    </row>
    <row r="186" ht="15.75">
      <c r="F186" s="6"/>
    </row>
    <row r="187" ht="15.75">
      <c r="F187" s="6"/>
    </row>
    <row r="188" ht="15.75">
      <c r="F188" s="6"/>
    </row>
    <row r="189" ht="15.75">
      <c r="F189" s="6"/>
    </row>
    <row r="190" ht="15.75">
      <c r="F190" s="6"/>
    </row>
    <row r="191" ht="15.75">
      <c r="F191" s="6"/>
    </row>
  </sheetData>
  <sheetProtection selectLockedCells="1" selectUnlockedCells="1"/>
  <mergeCells count="23">
    <mergeCell ref="E89:I89"/>
    <mergeCell ref="E88:I88"/>
    <mergeCell ref="E90:H90"/>
    <mergeCell ref="C15:H15"/>
    <mergeCell ref="C8:H8"/>
    <mergeCell ref="B82:D82"/>
    <mergeCell ref="A57:B57"/>
    <mergeCell ref="A59:B59"/>
    <mergeCell ref="A70:B70"/>
    <mergeCell ref="C77:H77"/>
    <mergeCell ref="C70:H70"/>
    <mergeCell ref="C59:H59"/>
    <mergeCell ref="C57:H57"/>
    <mergeCell ref="A37:B37"/>
    <mergeCell ref="A46:B46"/>
    <mergeCell ref="D46:F46"/>
    <mergeCell ref="A49:B49"/>
    <mergeCell ref="C3:K3"/>
    <mergeCell ref="C4:F4"/>
    <mergeCell ref="A5:F5"/>
    <mergeCell ref="A15:B15"/>
    <mergeCell ref="C49:H49"/>
    <mergeCell ref="C33:H33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129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85" t="s">
        <v>345</v>
      </c>
      <c r="F1" s="85"/>
      <c r="G1" s="85"/>
      <c r="H1" s="85"/>
    </row>
    <row r="2" spans="5:8" ht="12.75" customHeight="1">
      <c r="E2" s="86" t="s">
        <v>346</v>
      </c>
      <c r="F2" s="86"/>
      <c r="G2" s="86"/>
      <c r="H2" s="86"/>
    </row>
    <row r="3" spans="5:9" ht="12.75" customHeight="1">
      <c r="E3" s="86" t="s">
        <v>347</v>
      </c>
      <c r="F3" s="86"/>
      <c r="G3" s="86"/>
      <c r="H3" s="86"/>
      <c r="I3" s="86"/>
    </row>
    <row r="4" spans="5:8" ht="12.75" customHeight="1">
      <c r="E4" s="86" t="s">
        <v>348</v>
      </c>
      <c r="F4" s="86"/>
      <c r="G4" s="86"/>
      <c r="H4" s="86"/>
    </row>
    <row r="5" spans="5:8" ht="12.75" customHeight="1">
      <c r="E5" s="86" t="s">
        <v>349</v>
      </c>
      <c r="F5" s="86"/>
      <c r="G5" s="86"/>
      <c r="H5" s="86"/>
    </row>
    <row r="6" spans="5:8" ht="12.75" customHeight="1">
      <c r="E6" s="86" t="s">
        <v>350</v>
      </c>
      <c r="F6" s="86"/>
      <c r="G6" s="86"/>
      <c r="H6" s="86"/>
    </row>
    <row r="7" spans="5:8" ht="12.75" customHeight="1">
      <c r="E7" s="86" t="s">
        <v>351</v>
      </c>
      <c r="F7" s="86"/>
      <c r="G7" s="86"/>
      <c r="H7" s="86"/>
    </row>
    <row r="8" spans="5:8" ht="12.75" customHeight="1">
      <c r="E8" s="86" t="s">
        <v>352</v>
      </c>
      <c r="F8" s="86"/>
      <c r="G8" s="86"/>
      <c r="H8" s="86"/>
    </row>
    <row r="9" spans="1:9" ht="30" customHeight="1">
      <c r="A9" s="71" t="s">
        <v>353</v>
      </c>
      <c r="B9" s="71"/>
      <c r="C9" s="71"/>
      <c r="D9" s="71"/>
      <c r="E9" s="71"/>
      <c r="F9" s="71"/>
      <c r="G9" s="71"/>
      <c r="H9" s="71"/>
      <c r="I9" s="71"/>
    </row>
    <row r="10" spans="1:8" ht="15.75" customHeight="1">
      <c r="A10"/>
      <c r="B10"/>
      <c r="C10" s="9"/>
      <c r="D10" s="72" t="s">
        <v>2</v>
      </c>
      <c r="E10" s="72"/>
      <c r="F10" s="72"/>
      <c r="G10" s="72"/>
      <c r="H10" s="72"/>
    </row>
    <row r="11" spans="1:8" ht="15.75" hidden="1">
      <c r="A11" s="73"/>
      <c r="B11" s="73"/>
      <c r="C11" s="73"/>
      <c r="D11" s="73"/>
      <c r="E11" s="73"/>
      <c r="F11" s="73"/>
      <c r="G11" s="73"/>
      <c r="H11" s="73"/>
    </row>
    <row r="12" spans="1:9" ht="34.5" customHeight="1">
      <c r="A12" s="74" t="s">
        <v>3</v>
      </c>
      <c r="B12" s="74" t="s">
        <v>4</v>
      </c>
      <c r="C12" s="75" t="s">
        <v>5</v>
      </c>
      <c r="D12" s="76" t="s">
        <v>6</v>
      </c>
      <c r="E12" s="76" t="s">
        <v>7</v>
      </c>
      <c r="F12" s="75" t="s">
        <v>8</v>
      </c>
      <c r="G12" s="11" t="s">
        <v>9</v>
      </c>
      <c r="H12" s="11" t="s">
        <v>10</v>
      </c>
      <c r="I12" s="77" t="s">
        <v>354</v>
      </c>
    </row>
    <row r="13" spans="1:9" ht="15" customHeight="1">
      <c r="A13" s="74"/>
      <c r="B13" s="74"/>
      <c r="C13" s="75"/>
      <c r="D13" s="76"/>
      <c r="E13" s="76"/>
      <c r="F13" s="75"/>
      <c r="G13" s="77" t="s">
        <v>11</v>
      </c>
      <c r="H13" s="77"/>
      <c r="I13" s="77"/>
    </row>
    <row r="14" spans="1:9" ht="15.75">
      <c r="A14" s="74"/>
      <c r="B14" s="74"/>
      <c r="C14" s="75"/>
      <c r="D14" s="76"/>
      <c r="E14" s="76"/>
      <c r="F14" s="75"/>
      <c r="G14" s="77">
        <v>559.4</v>
      </c>
      <c r="H14" s="77"/>
      <c r="I14" s="77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78" t="s">
        <v>25</v>
      </c>
      <c r="B23" s="78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78" t="s">
        <v>31</v>
      </c>
      <c r="B25" s="78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79" t="s">
        <v>46</v>
      </c>
      <c r="B31" s="79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78" t="s">
        <v>55</v>
      </c>
      <c r="B35" s="78"/>
      <c r="C35" s="78"/>
      <c r="D35" s="78"/>
      <c r="E35" s="78"/>
      <c r="F35" s="78"/>
      <c r="G35" s="21">
        <v>9</v>
      </c>
      <c r="H35" s="16"/>
      <c r="I35" s="16"/>
    </row>
    <row r="36" spans="1:9" ht="12.75" customHeight="1" hidden="1">
      <c r="A36" s="78" t="s">
        <v>56</v>
      </c>
      <c r="B36" s="78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78" t="s">
        <v>31</v>
      </c>
      <c r="B53" s="78"/>
      <c r="C53" s="22"/>
      <c r="D53" s="80" t="s">
        <v>98</v>
      </c>
      <c r="E53" s="80"/>
      <c r="F53" s="80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78" t="s">
        <v>101</v>
      </c>
      <c r="B55" s="78"/>
      <c r="C55" s="22"/>
      <c r="D55" s="80" t="s">
        <v>102</v>
      </c>
      <c r="E55" s="80"/>
      <c r="F55" s="80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78" t="s">
        <v>112</v>
      </c>
      <c r="B59" s="78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78" t="s">
        <v>125</v>
      </c>
      <c r="B63" s="78"/>
      <c r="C63" s="78"/>
      <c r="D63" s="78"/>
      <c r="E63" s="78"/>
      <c r="F63" s="78"/>
      <c r="G63" s="21">
        <v>9</v>
      </c>
      <c r="H63" s="16"/>
      <c r="I63" s="16"/>
    </row>
    <row r="64" spans="1:9" ht="12.75" customHeight="1" hidden="1">
      <c r="A64" s="78" t="s">
        <v>126</v>
      </c>
      <c r="B64" s="78"/>
      <c r="C64" s="22"/>
      <c r="D64" s="80" t="s">
        <v>127</v>
      </c>
      <c r="E64" s="80"/>
      <c r="F64" s="80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78" t="s">
        <v>131</v>
      </c>
      <c r="B66" s="78"/>
      <c r="C66" s="22"/>
      <c r="D66" s="80" t="s">
        <v>132</v>
      </c>
      <c r="E66" s="80"/>
      <c r="F66" s="80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78" t="s">
        <v>137</v>
      </c>
      <c r="B68" s="78"/>
      <c r="C68" s="30"/>
      <c r="D68" s="80" t="s">
        <v>138</v>
      </c>
      <c r="E68" s="80"/>
      <c r="F68" s="80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78" t="s">
        <v>150</v>
      </c>
      <c r="B73" s="78"/>
      <c r="C73" s="22"/>
      <c r="D73" s="80" t="s">
        <v>151</v>
      </c>
      <c r="E73" s="80"/>
      <c r="F73" s="80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81" t="s">
        <v>163</v>
      </c>
      <c r="E79" s="81"/>
      <c r="F79" s="81"/>
      <c r="G79" s="81"/>
      <c r="H79" s="81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78" t="s">
        <v>167</v>
      </c>
      <c r="C83" s="78"/>
      <c r="D83" s="78"/>
      <c r="E83" s="78"/>
      <c r="F83" s="78"/>
      <c r="G83" s="42">
        <v>9</v>
      </c>
      <c r="H83" s="36"/>
      <c r="I83" s="16"/>
    </row>
    <row r="84" spans="1:9" ht="15.75" customHeight="1">
      <c r="A84" s="78" t="s">
        <v>25</v>
      </c>
      <c r="B84" s="78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46">
        <f>PRODUCT(H85/12/559.4)</f>
        <v>0.2520557740436182</v>
      </c>
    </row>
    <row r="86" spans="1:9" ht="15.75" customHeight="1">
      <c r="A86" s="78" t="s">
        <v>56</v>
      </c>
      <c r="B86" s="78"/>
      <c r="C86" s="22"/>
      <c r="D86" s="80" t="s">
        <v>32</v>
      </c>
      <c r="E86" s="80"/>
      <c r="F86" s="80"/>
      <c r="G86" s="21">
        <v>9</v>
      </c>
      <c r="H86" s="16"/>
      <c r="I86" s="46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46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46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46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46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46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46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46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46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46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46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46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46">
        <f t="shared" si="0"/>
        <v>0.09295673936360387</v>
      </c>
    </row>
    <row r="99" spans="1:9" ht="15.75" customHeight="1">
      <c r="A99" s="78" t="s">
        <v>126</v>
      </c>
      <c r="B99" s="78"/>
      <c r="C99" s="22"/>
      <c r="D99" s="80" t="s">
        <v>47</v>
      </c>
      <c r="E99" s="80"/>
      <c r="F99" s="80"/>
      <c r="G99" s="21">
        <v>9</v>
      </c>
      <c r="H99" s="16"/>
      <c r="I99" s="46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46">
        <f>PRODUCT(H100/12/559.4)</f>
        <v>0.657847693957812</v>
      </c>
    </row>
    <row r="101" spans="1:9" ht="12.75" customHeight="1" hidden="1">
      <c r="A101" s="78" t="s">
        <v>131</v>
      </c>
      <c r="B101" s="78"/>
      <c r="C101" s="22"/>
      <c r="D101" s="80" t="s">
        <v>192</v>
      </c>
      <c r="E101" s="80"/>
      <c r="F101" s="80"/>
      <c r="G101" s="21">
        <v>9</v>
      </c>
      <c r="H101" s="21"/>
      <c r="I101" s="46"/>
    </row>
    <row r="102" spans="1:9" ht="15.75" customHeight="1">
      <c r="A102" s="24"/>
      <c r="B102" s="78" t="s">
        <v>193</v>
      </c>
      <c r="C102" s="78"/>
      <c r="D102" s="78"/>
      <c r="E102" s="78"/>
      <c r="F102" s="78"/>
      <c r="G102" s="21">
        <v>9</v>
      </c>
      <c r="H102" s="16"/>
      <c r="I102" s="46"/>
    </row>
    <row r="103" spans="1:9" ht="15.75" customHeight="1">
      <c r="A103" s="78" t="s">
        <v>25</v>
      </c>
      <c r="B103" s="78"/>
      <c r="C103" s="22"/>
      <c r="D103" s="80" t="s">
        <v>194</v>
      </c>
      <c r="E103" s="80"/>
      <c r="F103" s="80"/>
      <c r="G103" s="21">
        <v>9</v>
      </c>
      <c r="H103" s="16"/>
      <c r="I103" s="46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46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46">
        <f>PRODUCT(H105/12/559.4)</f>
        <v>0.18233821952091528</v>
      </c>
    </row>
    <row r="106" spans="1:9" ht="15.75" customHeight="1">
      <c r="A106" s="78" t="s">
        <v>31</v>
      </c>
      <c r="B106" s="78"/>
      <c r="C106" s="22"/>
      <c r="D106" s="80" t="s">
        <v>199</v>
      </c>
      <c r="E106" s="80"/>
      <c r="F106" s="80"/>
      <c r="G106" s="21">
        <v>9</v>
      </c>
      <c r="H106" s="16"/>
      <c r="I106" s="46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46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46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46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46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46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46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46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46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46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46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46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46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46">
        <f t="shared" si="1"/>
        <v>0.06599332618281492</v>
      </c>
    </row>
    <row r="120" spans="1:9" ht="15.75" customHeight="1">
      <c r="A120" s="78" t="s">
        <v>55</v>
      </c>
      <c r="B120" s="78"/>
      <c r="C120" s="78"/>
      <c r="D120" s="78"/>
      <c r="E120" s="78"/>
      <c r="F120" s="78"/>
      <c r="G120" s="21">
        <v>9</v>
      </c>
      <c r="H120" s="16"/>
      <c r="I120" s="46"/>
    </row>
    <row r="121" spans="1:9" ht="15.75" customHeight="1">
      <c r="A121" s="78" t="s">
        <v>25</v>
      </c>
      <c r="B121" s="78"/>
      <c r="C121" s="22"/>
      <c r="D121" s="80" t="s">
        <v>57</v>
      </c>
      <c r="E121" s="80"/>
      <c r="F121" s="80"/>
      <c r="G121" s="21">
        <v>9</v>
      </c>
      <c r="H121" s="16"/>
      <c r="I121" s="46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46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46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46">
        <f>PRODUCT(H124/12/559.4)</f>
        <v>0.1841258491240615</v>
      </c>
    </row>
    <row r="125" spans="1:9" ht="15.75" customHeight="1">
      <c r="A125" s="78" t="s">
        <v>31</v>
      </c>
      <c r="B125" s="78"/>
      <c r="C125" s="22"/>
      <c r="D125" s="80" t="s">
        <v>98</v>
      </c>
      <c r="E125" s="80"/>
      <c r="F125" s="80"/>
      <c r="G125" s="21">
        <v>9</v>
      </c>
      <c r="H125" s="16"/>
      <c r="I125" s="46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46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46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46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46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46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46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46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46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46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46">
        <f t="shared" si="2"/>
        <v>0.05899177690382553</v>
      </c>
    </row>
    <row r="136" spans="1:9" ht="15.75" customHeight="1">
      <c r="A136" s="78" t="s">
        <v>101</v>
      </c>
      <c r="B136" s="78"/>
      <c r="C136" s="22"/>
      <c r="D136" s="80" t="s">
        <v>102</v>
      </c>
      <c r="E136" s="80"/>
      <c r="F136" s="80"/>
      <c r="G136" s="21">
        <v>9</v>
      </c>
      <c r="H136" s="16"/>
      <c r="I136" s="46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46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46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46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46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46">
        <f>PRODUCT(H141/12/559.4)</f>
        <v>0.029942795852699322</v>
      </c>
    </row>
    <row r="142" spans="1:9" ht="12.75" customHeight="1" hidden="1">
      <c r="A142" s="78"/>
      <c r="B142" s="78"/>
      <c r="C142" s="22"/>
      <c r="D142" s="80" t="s">
        <v>113</v>
      </c>
      <c r="E142" s="80"/>
      <c r="F142" s="80"/>
      <c r="G142" s="21">
        <v>9</v>
      </c>
      <c r="H142" s="16"/>
      <c r="I142" s="46"/>
    </row>
    <row r="143" spans="1:9" ht="15.75" customHeight="1">
      <c r="A143" s="78" t="s">
        <v>25</v>
      </c>
      <c r="B143" s="78"/>
      <c r="C143" s="22"/>
      <c r="D143" s="80" t="s">
        <v>113</v>
      </c>
      <c r="E143" s="80"/>
      <c r="F143" s="80"/>
      <c r="G143" s="21">
        <v>9</v>
      </c>
      <c r="H143" s="16"/>
      <c r="I143" s="46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46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46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46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46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46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46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46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46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46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46">
        <f t="shared" si="3"/>
        <v>0.15090573233226076</v>
      </c>
    </row>
    <row r="154" spans="1:9" ht="15.75" customHeight="1">
      <c r="A154" s="78" t="s">
        <v>125</v>
      </c>
      <c r="B154" s="78"/>
      <c r="C154" s="78"/>
      <c r="D154" s="78"/>
      <c r="E154" s="78"/>
      <c r="F154" s="78"/>
      <c r="G154" s="21">
        <v>9</v>
      </c>
      <c r="H154" s="16"/>
      <c r="I154" s="46"/>
    </row>
    <row r="155" spans="1:9" ht="15.75" customHeight="1">
      <c r="A155" s="78" t="s">
        <v>25</v>
      </c>
      <c r="B155" s="78"/>
      <c r="C155" s="22"/>
      <c r="D155" s="80" t="s">
        <v>127</v>
      </c>
      <c r="E155" s="80"/>
      <c r="F155" s="80"/>
      <c r="G155" s="21">
        <v>9</v>
      </c>
      <c r="H155" s="16"/>
      <c r="I155" s="46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46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46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46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46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46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46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46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46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46">
        <f t="shared" si="4"/>
        <v>0.21987844118698607</v>
      </c>
    </row>
    <row r="165" spans="1:9" ht="15.75" customHeight="1">
      <c r="A165" s="78" t="s">
        <v>101</v>
      </c>
      <c r="B165" s="78"/>
      <c r="C165" s="22"/>
      <c r="D165" s="80" t="s">
        <v>138</v>
      </c>
      <c r="E165" s="80"/>
      <c r="F165" s="80"/>
      <c r="G165" s="21">
        <v>9</v>
      </c>
      <c r="H165" s="16"/>
      <c r="I165" s="46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46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46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46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46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46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46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46">
        <f t="shared" si="5"/>
        <v>0.06539744964843285</v>
      </c>
    </row>
    <row r="173" spans="1:9" ht="15.75" customHeight="1">
      <c r="A173" s="78" t="s">
        <v>46</v>
      </c>
      <c r="B173" s="78"/>
      <c r="C173" s="22"/>
      <c r="D173" s="80" t="s">
        <v>151</v>
      </c>
      <c r="E173" s="80"/>
      <c r="F173" s="80"/>
      <c r="G173" s="21">
        <v>9</v>
      </c>
      <c r="H173" s="16"/>
      <c r="I173" s="46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46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46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46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46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46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46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46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46">
        <f t="shared" si="6"/>
        <v>0.001042783935168633</v>
      </c>
    </row>
    <row r="182" spans="1:9" ht="15.75" customHeight="1">
      <c r="A182" s="78" t="s">
        <v>56</v>
      </c>
      <c r="B182" s="78"/>
      <c r="C182" s="22"/>
      <c r="D182" s="80" t="s">
        <v>297</v>
      </c>
      <c r="E182" s="80"/>
      <c r="F182" s="80"/>
      <c r="G182" s="21">
        <v>9</v>
      </c>
      <c r="H182" s="16"/>
      <c r="I182" s="46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46">
        <f>PRODUCT(H183/12/559.4)</f>
        <v>0.06360982004528662</v>
      </c>
    </row>
  </sheetData>
  <sheetProtection selectLockedCells="1" selectUnlockedCells="1"/>
  <mergeCells count="73">
    <mergeCell ref="A165:B165"/>
    <mergeCell ref="D165:F165"/>
    <mergeCell ref="A173:B173"/>
    <mergeCell ref="D173:F173"/>
    <mergeCell ref="A182:B182"/>
    <mergeCell ref="D182:F182"/>
    <mergeCell ref="A142:B142"/>
    <mergeCell ref="D142:F142"/>
    <mergeCell ref="A143:B143"/>
    <mergeCell ref="D143:F143"/>
    <mergeCell ref="A154:F154"/>
    <mergeCell ref="A155:B155"/>
    <mergeCell ref="D155:F155"/>
    <mergeCell ref="A121:B121"/>
    <mergeCell ref="D121:F121"/>
    <mergeCell ref="A125:B125"/>
    <mergeCell ref="D125:F125"/>
    <mergeCell ref="A136:B136"/>
    <mergeCell ref="D136:F136"/>
    <mergeCell ref="B102:F102"/>
    <mergeCell ref="A103:B103"/>
    <mergeCell ref="D103:F103"/>
    <mergeCell ref="A106:B106"/>
    <mergeCell ref="D106:F106"/>
    <mergeCell ref="A120:F120"/>
    <mergeCell ref="A84:B84"/>
    <mergeCell ref="A86:B86"/>
    <mergeCell ref="D86:F86"/>
    <mergeCell ref="A99:B99"/>
    <mergeCell ref="D99:F99"/>
    <mergeCell ref="A101:B101"/>
    <mergeCell ref="D101:F101"/>
    <mergeCell ref="A68:B68"/>
    <mergeCell ref="D68:F68"/>
    <mergeCell ref="A73:B73"/>
    <mergeCell ref="D73:F73"/>
    <mergeCell ref="D79:H79"/>
    <mergeCell ref="B83:F83"/>
    <mergeCell ref="A59:B59"/>
    <mergeCell ref="A63:F63"/>
    <mergeCell ref="A64:B64"/>
    <mergeCell ref="D64:F64"/>
    <mergeCell ref="A66:B66"/>
    <mergeCell ref="D66:F66"/>
    <mergeCell ref="A31:B31"/>
    <mergeCell ref="A35:F35"/>
    <mergeCell ref="A36:B36"/>
    <mergeCell ref="A53:B53"/>
    <mergeCell ref="D53:F53"/>
    <mergeCell ref="A55:B55"/>
    <mergeCell ref="D55:F55"/>
    <mergeCell ref="F12:F14"/>
    <mergeCell ref="I12:I14"/>
    <mergeCell ref="G13:H13"/>
    <mergeCell ref="G14:H14"/>
    <mergeCell ref="A23:B23"/>
    <mergeCell ref="A25:B25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E1:H1"/>
    <mergeCell ref="E2:H2"/>
    <mergeCell ref="E3:I3"/>
    <mergeCell ref="E4:H4"/>
    <mergeCell ref="E5:H5"/>
    <mergeCell ref="E6:H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gengineer</cp:lastModifiedBy>
  <cp:lastPrinted>2011-02-28T12:36:29Z</cp:lastPrinted>
  <dcterms:created xsi:type="dcterms:W3CDTF">2010-11-16T15:21:12Z</dcterms:created>
  <dcterms:modified xsi:type="dcterms:W3CDTF">2011-02-28T13:05:35Z</dcterms:modified>
  <cp:category/>
  <cp:version/>
  <cp:contentType/>
  <cp:contentStatus/>
</cp:coreProperties>
</file>