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периодичность" sheetId="1" r:id="rId1"/>
    <sheet name="обязательные" sheetId="2" r:id="rId2"/>
    <sheet name="дополнительные" sheetId="3" r:id="rId3"/>
  </sheets>
  <definedNames/>
  <calcPr fullCalcOnLoad="1"/>
</workbook>
</file>

<file path=xl/sharedStrings.xml><?xml version="1.0" encoding="utf-8"?>
<sst xmlns="http://schemas.openxmlformats.org/spreadsheetml/2006/main" count="1477" uniqueCount="474">
  <si>
    <t>Приложение № __ к 4. Извещения</t>
  </si>
  <si>
    <t>Перечень обязательных работ и услуг по содержанию и ремонту общего имущества собственников помещений в многоквартирном доме, являющегося объектом конкурса</t>
  </si>
  <si>
    <t>Пригородная 4</t>
  </si>
  <si>
    <t>№№ расце-нок п/п</t>
  </si>
  <si>
    <t>Код</t>
  </si>
  <si>
    <t>№ п/п</t>
  </si>
  <si>
    <t>Наименование работ и ресурсов</t>
  </si>
  <si>
    <t>Периодичность выполнения</t>
  </si>
  <si>
    <t>Единица измерения</t>
  </si>
  <si>
    <t>Годовой объем работ с учетом периодичности</t>
  </si>
  <si>
    <t>Стоимость с НДС, руб.</t>
  </si>
  <si>
    <t>Пригородная, 4</t>
  </si>
  <si>
    <t>Утепление и прочистка дымовентиляционных каналов</t>
  </si>
  <si>
    <t>по графику</t>
  </si>
  <si>
    <t>руб.</t>
  </si>
  <si>
    <t>Вывоз твердых (жидких) бытовых отходов</t>
  </si>
  <si>
    <t>ежедневно</t>
  </si>
  <si>
    <t xml:space="preserve">Аварийное обслуживание </t>
  </si>
  <si>
    <t>постоянно</t>
  </si>
  <si>
    <t>Аварийное обслуживание газового оборудования</t>
  </si>
  <si>
    <t>Дератизация</t>
  </si>
  <si>
    <t>ежемесячно</t>
  </si>
  <si>
    <t>Дезинсекция, дезинфекция</t>
  </si>
  <si>
    <t>1 раз в год</t>
  </si>
  <si>
    <t>Перечень обязательных работ и услуг</t>
  </si>
  <si>
    <t>РАЗДЕЛ 1</t>
  </si>
  <si>
    <t>ФУНДАМЕНТЫ И ПОДВАЛЫ</t>
  </si>
  <si>
    <t>11-010</t>
  </si>
  <si>
    <t>Ямочный ремонт отдельных участков отмосток</t>
  </si>
  <si>
    <t>по мере необходимости по объему в дефектной ведомости</t>
  </si>
  <si>
    <t xml:space="preserve"> м2</t>
  </si>
  <si>
    <t>РАЗДЕЛ 2</t>
  </si>
  <si>
    <t>ПРОЕМЫ</t>
  </si>
  <si>
    <t>15-006</t>
  </si>
  <si>
    <t>Ремонт дверных полотен со сменой брусков обвязки горизонтальных на 2 сопряжения верхних</t>
  </si>
  <si>
    <t>брусок</t>
  </si>
  <si>
    <t>15-007</t>
  </si>
  <si>
    <t>Ремонт дверных полотен со сменой брусков обвязки горизонтальных на 2 сопряжения нижних</t>
  </si>
  <si>
    <t>15-009</t>
  </si>
  <si>
    <t>Смена стекол в деревянных переплетах при площади стекла до 1,0 м2</t>
  </si>
  <si>
    <t>10 м2</t>
  </si>
  <si>
    <t>15-032</t>
  </si>
  <si>
    <t>Снятие дверных полотен</t>
  </si>
  <si>
    <t>15-033</t>
  </si>
  <si>
    <t>Установка дверных полотен наружных кроме балконных (без стоимости полотен)</t>
  </si>
  <si>
    <t>полотно</t>
  </si>
  <si>
    <t>РАЗДЕЛ 4</t>
  </si>
  <si>
    <t>КРОВЛЯ</t>
  </si>
  <si>
    <t>17-006</t>
  </si>
  <si>
    <t>Ремонт отдельных мест покрытия из асбоцементных листов обыкновенного профиля</t>
  </si>
  <si>
    <t>54-041</t>
  </si>
  <si>
    <t>Очистка крыш от слежавшегося снега со сбрасыванием сосулек, при толщине снега до 20 см</t>
  </si>
  <si>
    <t>100 м2</t>
  </si>
  <si>
    <t>54-042</t>
  </si>
  <si>
    <t>Добавлять на каждые следующие 10 см слоя к расценке ТЕР54-041</t>
  </si>
  <si>
    <t>САНИТАРНО-ТЕХНИЧЕСКИЕ И ЭЛЕКТРОТЕХНИЧЕСКИЕ РАБОТЫ ТЕКУЩЕГО РЕМОНТА</t>
  </si>
  <si>
    <t>РАЗДЕЛ 5</t>
  </si>
  <si>
    <t>ЦЕНТРАЛЬНОЕ ОТОПЛЕНИЕ</t>
  </si>
  <si>
    <t>31-006</t>
  </si>
  <si>
    <t>Смена отдельных участков трубопроводов с заготовкой труб в построечных условиях диаметром до 20 мм (без стоимости арматуры трубопроводной и креплений)</t>
  </si>
  <si>
    <t xml:space="preserve">по мере необходимости </t>
  </si>
  <si>
    <t>1 м</t>
  </si>
  <si>
    <t>31-007</t>
  </si>
  <si>
    <t>Смена отдельных участков трубопроводов с заготовкой труб к построечных условиях диаметром до 32 мм (без стоимости арматуры трубопроводной и креплений)</t>
  </si>
  <si>
    <t>31-008</t>
  </si>
  <si>
    <t>Смена отдельных участков трубопроводов с заготовкой труб в построечных условиях диаметром до 50 мм (без стоимости арматуры трубопроводной и креплений)</t>
  </si>
  <si>
    <t>31-009</t>
  </si>
  <si>
    <t>Смена сгонов у трубопроводов диаметром до 20 мм</t>
  </si>
  <si>
    <t>по мере необходимости</t>
  </si>
  <si>
    <t>1 сгон</t>
  </si>
  <si>
    <t>31-010</t>
  </si>
  <si>
    <t>Смена сгонов у трубопроводов диаметром до 32 мм</t>
  </si>
  <si>
    <t>31-014</t>
  </si>
  <si>
    <t>Ремонт задвижек диаметром до 100 мм без снятия с места</t>
  </si>
  <si>
    <t>1 шт</t>
  </si>
  <si>
    <t>31-036</t>
  </si>
  <si>
    <t>Прочистка и промывка отопительных приборов радиаторов весом до 80 кг внутри здания</t>
  </si>
  <si>
    <t>1 прибор</t>
  </si>
  <si>
    <t>31-045</t>
  </si>
  <si>
    <t>Проверка на прогрев отопительных приборов с регулировкой</t>
  </si>
  <si>
    <t>31-046</t>
  </si>
  <si>
    <t>Смена воздушных кранов радиаторов</t>
  </si>
  <si>
    <t>31-047</t>
  </si>
  <si>
    <t>Смена пробко-спускных кранов</t>
  </si>
  <si>
    <t>31-048</t>
  </si>
  <si>
    <t>Смена кранов двойной регулировки</t>
  </si>
  <si>
    <t>31-054</t>
  </si>
  <si>
    <t>Промывка системы центрального отопления трубопровода и отопительные приборы гидропневматическим способом в домах 5-12 этажей при диаметре трубопровода от 15 до 32 мм</t>
  </si>
  <si>
    <t>1 элев.</t>
  </si>
  <si>
    <t>31-064</t>
  </si>
  <si>
    <t>Ликвидация воздушных пробок в радиаторах</t>
  </si>
  <si>
    <t>31-065</t>
  </si>
  <si>
    <t>Ликвидация воздушных пробок в стояках центрального отопления</t>
  </si>
  <si>
    <t>31-068</t>
  </si>
  <si>
    <t>Гидравлическое испытание трубопроводов системы отопления</t>
  </si>
  <si>
    <t>100 м</t>
  </si>
  <si>
    <t>31-069</t>
  </si>
  <si>
    <t>Снятие показаний с контрольных точек</t>
  </si>
  <si>
    <t>ВОДОСНАБЖЕНИЕ, КАНАЛИЗАЦИЯ</t>
  </si>
  <si>
    <t>32-093</t>
  </si>
  <si>
    <t>Очистка канализационной сети внутренней</t>
  </si>
  <si>
    <t>РАЗДЕЛ 3</t>
  </si>
  <si>
    <t>ЭЛЕКТРОМОНТАЖНЫЕ РАБОТЫ</t>
  </si>
  <si>
    <t>33-019</t>
  </si>
  <si>
    <t>Смена ламп накаливания</t>
  </si>
  <si>
    <t>10шт</t>
  </si>
  <si>
    <t>33-033</t>
  </si>
  <si>
    <t>Смена отдельных участков внутренней проводки</t>
  </si>
  <si>
    <t xml:space="preserve"> м</t>
  </si>
  <si>
    <t>33-037</t>
  </si>
  <si>
    <t>Снятие показаний эл.счетчика коммунального назначения</t>
  </si>
  <si>
    <t>шт</t>
  </si>
  <si>
    <t>РАЗДЕЛ 6</t>
  </si>
  <si>
    <t>ОСМОТРЫ</t>
  </si>
  <si>
    <t>42-012</t>
  </si>
  <si>
    <t>Осмотр электросетей, арматуры и электрооборудования на лестничных клетках</t>
  </si>
  <si>
    <t>4 раза в год</t>
  </si>
  <si>
    <t>100лест.</t>
  </si>
  <si>
    <t>42-014</t>
  </si>
  <si>
    <t>Осмотр вводных электрических щитков</t>
  </si>
  <si>
    <t>100шт</t>
  </si>
  <si>
    <t>42-015</t>
  </si>
  <si>
    <t>Осмотр водопроводов, канализации, отопления в квартирах</t>
  </si>
  <si>
    <t>2 раза в год</t>
  </si>
  <si>
    <t>100кв.</t>
  </si>
  <si>
    <t>САНИТАРНОЕ СОДЕРЖАНИЕ И УБОРКА ДОМОВЛАДЕНИЙ</t>
  </si>
  <si>
    <t>РАЗДЕЛ 7</t>
  </si>
  <si>
    <t>СОДЕРЖАНИЕ ЛЕСТНИЧНЫХ КЛЕТОК</t>
  </si>
  <si>
    <t>51-001</t>
  </si>
  <si>
    <t>Влажное подметание лестничных площадок и маршей без оборудования при количестве этажей 2-5</t>
  </si>
  <si>
    <t>3 раза в неделю</t>
  </si>
  <si>
    <t>РАЗДЕЛ 8</t>
  </si>
  <si>
    <t>УБОРКА ПИЩЕВЫХ ОТХОДОВ (ОБСЛУЖИВАНИЕ МУСОРОПРОВОДОВ)</t>
  </si>
  <si>
    <t>52-033</t>
  </si>
  <si>
    <t>Уборка контейнерных площадок</t>
  </si>
  <si>
    <t>ежежневно</t>
  </si>
  <si>
    <t>м2</t>
  </si>
  <si>
    <t>РАЗДЕЛ 9</t>
  </si>
  <si>
    <t>РУЧНАЯ УБОРКА ТЕРРИТОРИЙ ДОМОВЛАДЕНИЙ ЛЕТОМ</t>
  </si>
  <si>
    <t>53-001</t>
  </si>
  <si>
    <t>Подметание территории 1 класса с усовершенствованным покрытием</t>
  </si>
  <si>
    <t>1 раз в трое суток</t>
  </si>
  <si>
    <t>1000 м2</t>
  </si>
  <si>
    <t>53-003</t>
  </si>
  <si>
    <t>Подметание территории 1 класса без покрытий</t>
  </si>
  <si>
    <t>53-020</t>
  </si>
  <si>
    <t>Уборка газонов</t>
  </si>
  <si>
    <t>53-021</t>
  </si>
  <si>
    <t>Очистка газонов от опавших листьев</t>
  </si>
  <si>
    <t>6 раз в летний период</t>
  </si>
  <si>
    <t>РАЗДЕЛ 10</t>
  </si>
  <si>
    <t>РУЧНАЯ УБОРКА ТЕРРИТОРИЙ ДОМОВЛАДЕНИЙ ЗИМОЙ</t>
  </si>
  <si>
    <t>54-003</t>
  </si>
  <si>
    <t>Подметание свежего снега без предварительной обработки территории 1 класса с усовершенствованным покрытием</t>
  </si>
  <si>
    <t>54-013</t>
  </si>
  <si>
    <t>Сдвигание снега по территории 1 класса с усовершенствованным покрытием</t>
  </si>
  <si>
    <t>Е65-18-7</t>
  </si>
  <si>
    <t>Ревизия запорной арматуры СО, ХВС</t>
  </si>
  <si>
    <t>по объему в дефектной ведомости</t>
  </si>
  <si>
    <t>100 шт.</t>
  </si>
  <si>
    <t>Е52-12-1</t>
  </si>
  <si>
    <t>Устройство прижимной стенки из кирпича при ремонте фундаментов</t>
  </si>
  <si>
    <t>Итого по обязательным работам</t>
  </si>
  <si>
    <t>в том числе</t>
  </si>
  <si>
    <t>Текущий ремонт и содержание жилого помещения</t>
  </si>
  <si>
    <t>Вывоз твердых бытовых отходов</t>
  </si>
  <si>
    <t>Перечень дополнительных работ и услуг</t>
  </si>
  <si>
    <t>ОБЩЕСТРОИТЕЛЬНЫЕ РАБОТЫ ТЕКУЩЕГО РЕМОНТА</t>
  </si>
  <si>
    <t>15-005</t>
  </si>
  <si>
    <t>Ремонт оконных переплетов с заменой брусков из профилированных заготовок</t>
  </si>
  <si>
    <t>створка</t>
  </si>
  <si>
    <t>15-008</t>
  </si>
  <si>
    <t>Ремонт форточек</t>
  </si>
  <si>
    <t>15-013</t>
  </si>
  <si>
    <t>Смена дверных приборов - петли</t>
  </si>
  <si>
    <t>10 шт</t>
  </si>
  <si>
    <t>15-014</t>
  </si>
  <si>
    <t>Смена дверных приборов - шпингалеты</t>
  </si>
  <si>
    <t xml:space="preserve"> шт</t>
  </si>
  <si>
    <t>15-018</t>
  </si>
  <si>
    <t>Смена дверных приборов - пружины</t>
  </si>
  <si>
    <t>15-021</t>
  </si>
  <si>
    <t>Смена оконных приборов - петли</t>
  </si>
  <si>
    <t>пара</t>
  </si>
  <si>
    <t>15-022</t>
  </si>
  <si>
    <t>Смена оконных приборов - ручки</t>
  </si>
  <si>
    <t>15-026</t>
  </si>
  <si>
    <t>Смена оконных приборов - завертки форточные</t>
  </si>
  <si>
    <t>15-027</t>
  </si>
  <si>
    <t>Смена оконных приборов - задвижки</t>
  </si>
  <si>
    <t>15-046</t>
  </si>
  <si>
    <t>Укрепление оконных и дверных приборов - пружин, ручек, петель, шпингалетов</t>
  </si>
  <si>
    <t>ЛЕСТНИЦЫ, КРЫЛЬЦА</t>
  </si>
  <si>
    <t>ОТДЕЛОЧНЫЕ И ПРОЧИЕ РАБОТЫ ТЕКУЩЕГО РЕМОНТА</t>
  </si>
  <si>
    <t>ШТУКАТУРНЫЕ РАБОТЫ</t>
  </si>
  <si>
    <t>21-030</t>
  </si>
  <si>
    <t>Ремонт штукатурки гладких фасадов по камню и бетону с земли цементно-известковым раствором площадью до 5 м2 толщиной слоя до 20 мм</t>
  </si>
  <si>
    <t>21-032</t>
  </si>
  <si>
    <t>Добавлять к ТЕР21-031 на каждые следующие 10 мм</t>
  </si>
  <si>
    <t>МАЛЯРНЫЕ РАБОТЫ</t>
  </si>
  <si>
    <t>22-002</t>
  </si>
  <si>
    <t>Окраска клеевыми составами улучшенная помещений площадью более 5 м2</t>
  </si>
  <si>
    <t>22-054</t>
  </si>
  <si>
    <t>Улучшенная масляная окраска ранее окрашенных стен за два раза с расчисткой старой краски до 35 %, помещений площадью более 5 м2</t>
  </si>
  <si>
    <t>22-060</t>
  </si>
  <si>
    <t>Улучшенная масляная окраска ранее окрашенных потолков за два раза с расчисткой старой краски до 35 %, помещений площадью более 5 м2</t>
  </si>
  <si>
    <t>22-068</t>
  </si>
  <si>
    <t>Улучшенная масляная окраска ранее окрашенных окон за два раза с расчисткой старой краски более 35 %, помещений площадью более 5 м2</t>
  </si>
  <si>
    <t>22-072</t>
  </si>
  <si>
    <t>Улучшенная масляная окраска ранее окрашенных дверей за два раза с расчисткой старой краски до 35 %, помещений площадью более 5 м2</t>
  </si>
  <si>
    <t>22-080</t>
  </si>
  <si>
    <t>Улучшенная масляная окраска ранее окрашенных полов за два раза с расчисткой старой краски более 35 %, помещений площадью более 5 м2</t>
  </si>
  <si>
    <t>22-084</t>
  </si>
  <si>
    <t>Окрашивание ранее окрашенных водоэмульсионной краской стен с расчисткой старой краски до 35 %, помещений площадью более 5 м2.</t>
  </si>
  <si>
    <t>22-126</t>
  </si>
  <si>
    <t>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 за 2 раза</t>
  </si>
  <si>
    <t>22-132</t>
  </si>
  <si>
    <t>Промывка поверхности окрашенной масляными красками стен и фасадов при площади помещений более 5 м2</t>
  </si>
  <si>
    <t>22-134</t>
  </si>
  <si>
    <t>Промывка поверхности окрашенной масляными красками окон и дверей при площади помещений более 5 м2</t>
  </si>
  <si>
    <t>22-151</t>
  </si>
  <si>
    <t>Ремонт стен облицованных гипсокартонными листами площадью ремонтируемых мест до 5 м2</t>
  </si>
  <si>
    <t>Е62-18-1</t>
  </si>
  <si>
    <t>Окраска масляными составами деревянных поручней с покрытием лаком</t>
  </si>
  <si>
    <t>Е62-18-3</t>
  </si>
  <si>
    <t>Окраска масляными составами торцов лестичных маршей</t>
  </si>
  <si>
    <t>32-028</t>
  </si>
  <si>
    <t>Смена арматуры - вентилей и клапанов обратных муфтовых диаметром до 32 мм</t>
  </si>
  <si>
    <t>32-072</t>
  </si>
  <si>
    <t>Зачеканка раструбов канализационных труб д=до 100 мм</t>
  </si>
  <si>
    <t>32-079</t>
  </si>
  <si>
    <t>Смена внутренних трубопроводов из чугунных канализационных труб диаметром до 50 мм (без стоимости креплений)</t>
  </si>
  <si>
    <t>32-080</t>
  </si>
  <si>
    <t>Смена внутренних трубопроводов из чугунных канализационных труб диаметром до 100 мм (без стоимости креплений)</t>
  </si>
  <si>
    <t>32-086</t>
  </si>
  <si>
    <t>Смена внутренних трубопроводов из стальных труб диаметром до 25 мм (без стоимости креплений)</t>
  </si>
  <si>
    <t>32-087</t>
  </si>
  <si>
    <t>Смена внутренних трубопроводов из стальных труб диаметром до 32 мм (без стоимости креплений)</t>
  </si>
  <si>
    <t>32-097</t>
  </si>
  <si>
    <t>Ремонт внутренних трубопроводов и стояков д=51-75 мм</t>
  </si>
  <si>
    <t>место</t>
  </si>
  <si>
    <t>32-098</t>
  </si>
  <si>
    <t>Ремонт внутренних трубопроводов и стояков д=до 50 мм</t>
  </si>
  <si>
    <t>32-101</t>
  </si>
  <si>
    <t>Прочистка засоров ГВС, ХВС</t>
  </si>
  <si>
    <t>3 м</t>
  </si>
  <si>
    <t>33-030</t>
  </si>
  <si>
    <t>Ремонт групповых щитков на лестничной клетке без ремонта автоматов</t>
  </si>
  <si>
    <t>33-060</t>
  </si>
  <si>
    <t>Подключение и отключение сварочного аппарата</t>
  </si>
  <si>
    <t>42-003</t>
  </si>
  <si>
    <t>Осмотр деревянных конструкций стропил</t>
  </si>
  <si>
    <t>100м3</t>
  </si>
  <si>
    <t>42-004</t>
  </si>
  <si>
    <t>Осмотр деревянных полов</t>
  </si>
  <si>
    <t>42-005</t>
  </si>
  <si>
    <t>Осмотр деревянных перекрытий</t>
  </si>
  <si>
    <t>42-006</t>
  </si>
  <si>
    <t>Осмотр деревянных стен</t>
  </si>
  <si>
    <t>42-007</t>
  </si>
  <si>
    <t>Осмотр деревянных заполнений проемов</t>
  </si>
  <si>
    <t>42-008</t>
  </si>
  <si>
    <t>Осмотр внутренней и наружной штукатурки</t>
  </si>
  <si>
    <t>42-009</t>
  </si>
  <si>
    <t>Осмотр внутренней и наружной окраски и отделки</t>
  </si>
  <si>
    <r>
      <t xml:space="preserve">Осмотр водопроводов, канализации, </t>
    </r>
    <r>
      <rPr>
        <b/>
        <sz val="10"/>
        <rFont val="Times New Roman"/>
        <family val="1"/>
      </rPr>
      <t>отопления</t>
    </r>
    <r>
      <rPr>
        <sz val="10"/>
        <rFont val="Times New Roman"/>
        <family val="1"/>
      </rPr>
      <t xml:space="preserve"> в квартирах</t>
    </r>
  </si>
  <si>
    <t>51-009</t>
  </si>
  <si>
    <t>Мытье лестничных площадок и маршей без оборудования при количестве этажей 2-5</t>
  </si>
  <si>
    <t>51-017</t>
  </si>
  <si>
    <t>Обметание пыли с потолков</t>
  </si>
  <si>
    <t>51-018</t>
  </si>
  <si>
    <t>Влажная уборка стен</t>
  </si>
  <si>
    <t>51-020</t>
  </si>
  <si>
    <t>Влажная протирка подоконников</t>
  </si>
  <si>
    <t>51-022</t>
  </si>
  <si>
    <t>Влажная протирка шкафов для щитов и слаботочных устройств</t>
  </si>
  <si>
    <t>51-023</t>
  </si>
  <si>
    <t>Влажная протирка почтовых ящиков</t>
  </si>
  <si>
    <t>51-032</t>
  </si>
  <si>
    <t>Уборка площадки перед входом в подъезд</t>
  </si>
  <si>
    <t>51-034</t>
  </si>
  <si>
    <t>Уборка чердаков, подвалов, бойлерных</t>
  </si>
  <si>
    <t>53-023</t>
  </si>
  <si>
    <t>Выкашивание газонов комбинированных</t>
  </si>
  <si>
    <t>53-025</t>
  </si>
  <si>
    <t>Уборка с газонов травы скошенной газонокосилкой</t>
  </si>
  <si>
    <t>53-030</t>
  </si>
  <si>
    <t>Погрузка и разгрузка веток, листьев, мусора от прополки</t>
  </si>
  <si>
    <t>м3</t>
  </si>
  <si>
    <t>54-022</t>
  </si>
  <si>
    <t>Очистка территории 1 класса с усовершенствованным покрытием под скребок</t>
  </si>
  <si>
    <t>54-025</t>
  </si>
  <si>
    <t>Пескопосыпка территории 1 класса (без стоимости пескосоляной смеси)</t>
  </si>
  <si>
    <t>54-031</t>
  </si>
  <si>
    <t>Очистка территории 1 класса от наледи с предварительной обработки хлоридами</t>
  </si>
  <si>
    <t>54-044</t>
  </si>
  <si>
    <t>Подметание песка, оставшегося после зимней подсыпки</t>
  </si>
  <si>
    <t>ПРОЧИЕ РАБОТЫ</t>
  </si>
  <si>
    <t>55-015</t>
  </si>
  <si>
    <t>Погрузка металлолома, строительного мусора</t>
  </si>
  <si>
    <t>Объем</t>
  </si>
  <si>
    <t>Повтор в течении отчетного периода</t>
  </si>
  <si>
    <t>Стоимость с НДС, руб. (за отчетный период)</t>
  </si>
  <si>
    <t>Площадь помещений</t>
  </si>
  <si>
    <t>Стоимость на 1 м2 общей площади жилья в руб.</t>
  </si>
  <si>
    <t>УСЛУГИ ПОДРЯДНЫХ ОРГАНИЗАЦИЙ И УПРАВЛЕНЧЕСКИЕ РАСХОДЫ</t>
  </si>
  <si>
    <t>Обслуживание тепловых узлов</t>
  </si>
  <si>
    <t>узел</t>
  </si>
  <si>
    <t>Техническое обслуживание газового оборудования</t>
  </si>
  <si>
    <t>кв.</t>
  </si>
  <si>
    <t>Обслуживание мусоропровода</t>
  </si>
  <si>
    <t>под.</t>
  </si>
  <si>
    <t>Дезинфекция, дезинсекция</t>
  </si>
  <si>
    <t>Обслуживание лифтового оборудования</t>
  </si>
  <si>
    <t>Освидетельствование лифтового оборудования</t>
  </si>
  <si>
    <t>лифт</t>
  </si>
  <si>
    <t>Расходы на управление домом</t>
  </si>
  <si>
    <t>1 раз в месяц</t>
  </si>
  <si>
    <t>СОДЕРЖАНИЕ И ТЕКУШИЙ РЕМОНТ КОНСТРУКТИВНЫХ ЭЛЕМЕНТОВ ЗДАНИЯ</t>
  </si>
  <si>
    <t>Проверка и прочистка дымовентиляционных каналов</t>
  </si>
  <si>
    <t>канал</t>
  </si>
  <si>
    <t>Очистка кровли от мусора</t>
  </si>
  <si>
    <t>100м2</t>
  </si>
  <si>
    <t>Очистка кровли от снега,фановых труб от наледи</t>
  </si>
  <si>
    <t>Очистка козырьков от снега и наледи</t>
  </si>
  <si>
    <t>СТЕНЫ</t>
  </si>
  <si>
    <t>Устройство герметизации стеновых панелей пенополистиролом</t>
  </si>
  <si>
    <t xml:space="preserve"> по объему в дефектной ведомости</t>
  </si>
  <si>
    <t>п.м.</t>
  </si>
  <si>
    <t xml:space="preserve">Ремонт оконных переплетов </t>
  </si>
  <si>
    <t xml:space="preserve">Заделка подвальных и чердачных окон </t>
  </si>
  <si>
    <t xml:space="preserve">Ремонт дверных полотен со сменой петель </t>
  </si>
  <si>
    <t>шт.</t>
  </si>
  <si>
    <t>ПОДЪЕЗДЫ</t>
  </si>
  <si>
    <t>Ремонт металических перил</t>
  </si>
  <si>
    <t>Ремонт и покраска входов в подъезды (тамбуры)</t>
  </si>
  <si>
    <t>ПОДВАЛЫ</t>
  </si>
  <si>
    <t>Окраска маслянными составами ранее окрашенных поверхностей стальных и чугунных труб за 1 раз (подвал)</t>
  </si>
  <si>
    <t>Устройство цементного пола в теплоузле</t>
  </si>
  <si>
    <t>РЕМОНТ И ОБСЛУЖИВАНИЕ ВНУТРИДОМОВОГО ИНЖЕНЕРНОГО ОБОРУДОВАНИЯ</t>
  </si>
  <si>
    <t>САНТЕХНИЧЕСКИЕ РАБОТЫ</t>
  </si>
  <si>
    <t>Снятие показаний с общедомовых приборов учета (ХВС)</t>
  </si>
  <si>
    <t>1раз в месяц</t>
  </si>
  <si>
    <t>по мере необходимости в течении отчетного периода</t>
  </si>
  <si>
    <t>м</t>
  </si>
  <si>
    <t>Смена трубопроводов водоснабжения из напорных полиэтиленовых труб диаметром 20 мм</t>
  </si>
  <si>
    <t>Смена трубопроводов водоснабжения из напорных полиэтиленовых труб диаметром 15 мм</t>
  </si>
  <si>
    <t>Смена внутренних трубопроводов из стальных труб диаметром 76</t>
  </si>
  <si>
    <t>Врезки в действуюшие сети трубопроводов отопления и водоснабжения диаметром 15</t>
  </si>
  <si>
    <t>врезка</t>
  </si>
  <si>
    <t>Врезки в действуюшие сети трубопроводов отопления и водоснабжения диаметром 20</t>
  </si>
  <si>
    <t>Врезки в действуюшие сети трубопроводов отопления и водоснабжения диаметром 32</t>
  </si>
  <si>
    <t>Смена внутренних трубопроводов из стальных труб диаметром 25</t>
  </si>
  <si>
    <t>Смена арматуры вентелей диаметров до 32мм</t>
  </si>
  <si>
    <t>Смена сгонов у трубороводов диаметром до 32 мм</t>
  </si>
  <si>
    <t>Смена сгонов у трубороводов диаметром до 20 мм</t>
  </si>
  <si>
    <t>Ревизия вентелей без снятия с места</t>
  </si>
  <si>
    <t>Замена канализационных труб  в подвале</t>
  </si>
  <si>
    <t>Очистка ливневой канализационной сети</t>
  </si>
  <si>
    <t>Промывка системы центрального отопления дома</t>
  </si>
  <si>
    <t>м3 здания</t>
  </si>
  <si>
    <t>компл.</t>
  </si>
  <si>
    <t>Ремонт светильников с лампами накаливания</t>
  </si>
  <si>
    <t>Смена светильников с люменисцентными лампами</t>
  </si>
  <si>
    <t>Смена светильников с лампами накаливания</t>
  </si>
  <si>
    <t>Ремонт выключателей</t>
  </si>
  <si>
    <t>Установка патронов навесных</t>
  </si>
  <si>
    <t>ППР групповых щитков на лестничной клетке без ремонта автоматов</t>
  </si>
  <si>
    <t>Ремонт групповых щитков на лестничной клетке со сменой автоматов</t>
  </si>
  <si>
    <t>Обследование и испытание электросетей, электроприемников и защитного заземления электрооборудования</t>
  </si>
  <si>
    <t>Смена кабеля 2-4 жильного сечением жилы до 16 мм2 (подвал)</t>
  </si>
  <si>
    <t>Ремонт силового предохранительного шкафа</t>
  </si>
  <si>
    <t>Осмотр системы центрального отопления в чердачных и подвальных помещениях, с элементами профремонта</t>
  </si>
  <si>
    <t>Осмотр электросетей, арматуры и электрооборудования на чердаках и подвалах</t>
  </si>
  <si>
    <t>1000м2</t>
  </si>
  <si>
    <t>Осмотр мягкой кровли</t>
  </si>
  <si>
    <t>Сезонный осмотр элементов здания с внесением данных в паспорт готовности дома</t>
  </si>
  <si>
    <t>1 раза в год</t>
  </si>
  <si>
    <t>Уборка лифтовых кабин</t>
  </si>
  <si>
    <t>Дезинфекция элементов ствола мусоропровода</t>
  </si>
  <si>
    <t>Дезинфекция переносных мусоросборников</t>
  </si>
  <si>
    <t>2 раза в летний период</t>
  </si>
  <si>
    <t>2 раза в неделю</t>
  </si>
  <si>
    <t>Погрузка и разгрузка веток, листьев, мусора, вывоз</t>
  </si>
  <si>
    <t xml:space="preserve">Механизированная уборка дворовых территорий в летнее время </t>
  </si>
  <si>
    <t xml:space="preserve">Подметание свежего снега без предварительной обработки территории 1 класса </t>
  </si>
  <si>
    <t>1 раз в сутки</t>
  </si>
  <si>
    <t xml:space="preserve">Сдвигание свежего снега по территории 1 класса </t>
  </si>
  <si>
    <t>1 раз в  неделю</t>
  </si>
  <si>
    <t>Пескопосыпка территории  1 класса</t>
  </si>
  <si>
    <t xml:space="preserve">Механизированная уборка дворовых территорий в зимнее время </t>
  </si>
  <si>
    <t>Вывоз КГО (погрузка мусора на атотранспорт, разгрузка  мусора , вывоз ).</t>
  </si>
  <si>
    <t xml:space="preserve"> по мере необходимости</t>
  </si>
  <si>
    <r>
      <t xml:space="preserve">ИТОГО ПО ОБЯЗАТЕЛЬНЫМ РАБОТАМ И УСЛУГАМ                     </t>
    </r>
    <r>
      <rPr>
        <i/>
        <sz val="10"/>
        <rFont val="Arial"/>
        <family val="2"/>
      </rPr>
      <t xml:space="preserve">руб. </t>
    </r>
    <r>
      <rPr>
        <b/>
        <i/>
        <sz val="10"/>
        <rFont val="Arial"/>
        <family val="2"/>
      </rPr>
      <t xml:space="preserve">                           </t>
    </r>
  </si>
  <si>
    <t>в том числе:</t>
  </si>
  <si>
    <t>Вывоз твердых  бытовых отходов</t>
  </si>
  <si>
    <t>Обслуживание лифта</t>
  </si>
  <si>
    <t>Исполнительный директор</t>
  </si>
  <si>
    <t>Ю.В.Хуторной</t>
  </si>
  <si>
    <t>Приложение № _____ к п.5 конкурскной документации</t>
  </si>
  <si>
    <t xml:space="preserve">Утверждаю:  ____________________                                                        </t>
  </si>
  <si>
    <t>Начальник Управления ЖКХ АМО ГО "Сыктывкар"</t>
  </si>
  <si>
    <t xml:space="preserve">Шаталович В.А. </t>
  </si>
  <si>
    <t>167000, РК, г. Сыктывкар, ул. Бабушкина, 22</t>
  </si>
  <si>
    <t>тел/факс 329026</t>
  </si>
  <si>
    <t>E-mail: ujkh@rambler.ru</t>
  </si>
  <si>
    <t>"_____"______________________2007 год</t>
  </si>
  <si>
    <t>Перечень дополнительных  работ и услуг по содержанию и ремонту общего имущества собственников помещений в многоквартирном доме, являющегося объектом конкурса</t>
  </si>
  <si>
    <t>Стоимость на 1 м2 общей площади жилья</t>
  </si>
  <si>
    <t>Мытье лестничных площадок и маршей</t>
  </si>
  <si>
    <t>Профилактический осмотр мусоропровода</t>
  </si>
  <si>
    <t>2 раз в месяц</t>
  </si>
  <si>
    <t>Мытье загрузочных клапанов</t>
  </si>
  <si>
    <t>Уборка мусорокамер с мытьем стен и полов</t>
  </si>
  <si>
    <t>Слив и наполнение водой системы отопления с осмотром</t>
  </si>
  <si>
    <t>1000 м3</t>
  </si>
  <si>
    <t>Замена металлических клапанов мусоропровода</t>
  </si>
  <si>
    <t>Окраска металлических деталей мусоропровода</t>
  </si>
  <si>
    <t>Профилактический обход квартир</t>
  </si>
  <si>
    <t>Уборка территорий от случайного мусора</t>
  </si>
  <si>
    <t>Уборка территорий от мусора при сильной засоренности</t>
  </si>
  <si>
    <t>Смена колб к светильникам</t>
  </si>
  <si>
    <t>Устройство стяжек цементных полов</t>
  </si>
  <si>
    <t xml:space="preserve">Замена задвижек до 100 мм </t>
  </si>
  <si>
    <t>Сборка и установка металлической ковровыбиралки, ограждений</t>
  </si>
  <si>
    <t>Разморозка</t>
  </si>
  <si>
    <t>Разморозка ливневой канализационной сети</t>
  </si>
  <si>
    <t>Изготовление и установка металлических ящиков для складирования мусора</t>
  </si>
  <si>
    <t>1000м3</t>
  </si>
  <si>
    <t xml:space="preserve">Масляная окраска стен </t>
  </si>
  <si>
    <t>Подметание лестничных площадок и маршей  (до почтовых ящиков)</t>
  </si>
  <si>
    <t>Окраска известковыми составами контейнерной площадки</t>
  </si>
  <si>
    <t>Окраска маслянными составами ранее окрашенных металлических поверхностей контейнеров</t>
  </si>
  <si>
    <t xml:space="preserve">Смена трубопроводов водоснабжения из напорных полиэтиленовых труб диаметром 40 мм </t>
  </si>
  <si>
    <t>Смена внутренних трубопроводов из стальных труб диаметром до 20 мм</t>
  </si>
  <si>
    <t>Смена внутренних трубопроводов из стальных труб диаметром до 32 мм</t>
  </si>
  <si>
    <t>Смена внутренних трубопроводов из стальных труб диаметром до 57 мм</t>
  </si>
  <si>
    <t>Врезки в действующие внутренние сети трубопроводов канализации диаметром 100 мм</t>
  </si>
  <si>
    <t>Установка деревянных поручней</t>
  </si>
  <si>
    <t>Закрытие слуховых окон</t>
  </si>
  <si>
    <t>Подчеканка канализационных патрубков</t>
  </si>
  <si>
    <t>Устройство цементной стяжки</t>
  </si>
  <si>
    <t>Маслянная окраска детских архитектурных форм</t>
  </si>
  <si>
    <t>Проверка и прочистка газодымоходов</t>
  </si>
  <si>
    <t>Ремонт штукатурки фасадов</t>
  </si>
  <si>
    <t>Сплошное выравнивание штукатурки внутри здания</t>
  </si>
  <si>
    <t>Ремонт отдельными местами рулонного покрытия  кровли  наплавляемыми материалами /1,2,3,4,5,6 под./</t>
  </si>
  <si>
    <t>Смена обделок из листовой стали карнизов козырьков</t>
  </si>
  <si>
    <t>Огрунтовка оснований из бетона под водоизоляционный кровельный ковер козырьков</t>
  </si>
  <si>
    <t xml:space="preserve">Ремонт отдельных мест покрытия из асбоцементных листов обыкновенного профиля </t>
  </si>
  <si>
    <t>Заделка отверстий в стенах и перегородках до 0,2 м2 окна над козырьками</t>
  </si>
  <si>
    <t>отверстие</t>
  </si>
  <si>
    <t>Техническое обслуживание повысительных насосов</t>
  </si>
  <si>
    <t>Сдвигание снега и скола сброшенного с крыш</t>
  </si>
  <si>
    <t>Окраска известковыми составами по бетону бордюров</t>
  </si>
  <si>
    <t>Перечень выполненных работ по управлению, содержанию и текущему ремонту общего имушества многоквартирного дома № 85</t>
  </si>
  <si>
    <t xml:space="preserve">по ул.  Коммунистическая за период с 01.01.2010г.  по  31.12.2010 г. </t>
  </si>
  <si>
    <t>Обшивка каркасных стен досками обшивки</t>
  </si>
  <si>
    <t>Смена стекол в деревянных переплетах при площади стекла до 1,0 м2  /2 под./</t>
  </si>
  <si>
    <t>Установка выключателей одноклавишных неутопленного типа /3,1,6 под./</t>
  </si>
  <si>
    <t>Смена воздушных кранов радиаторов /кв.62/</t>
  </si>
  <si>
    <t>Ремонт приборов отопления /кв.62/</t>
  </si>
  <si>
    <t>заявка от жильца</t>
  </si>
  <si>
    <t>Прочистка вентиляционных каналов /4,5под., кв.14/</t>
  </si>
  <si>
    <t>Смена ламп люменисцентных /1,5,2под./</t>
  </si>
  <si>
    <t>Рытье ям для установки стоек ковровыбивалок</t>
  </si>
  <si>
    <t>Ликвидация воздушных пробок в стояках центрального отопления /6 под.,п/с,кв.72,80/</t>
  </si>
  <si>
    <t xml:space="preserve">Ремонт бетонного крыльца </t>
  </si>
  <si>
    <t>Установка индивидуальный счетчиков /кв.28,1/</t>
  </si>
  <si>
    <t>Смена арматуры вентелей диаметров до 20мм /кв.28/</t>
  </si>
  <si>
    <t xml:space="preserve">Ремонт общедомового сантехоборудования в квартирах (прочистка водопровода, прочистка и ремонт радиаторов отопления)     /1,10,34,6,21,24,57,64,61 и др./         </t>
  </si>
  <si>
    <t>Смена дверных приборов - пружины /2 под./</t>
  </si>
  <si>
    <t>Косметический ремонт подъездов /3 под./</t>
  </si>
  <si>
    <t>Установка общедомовых приборов учета /тепло/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</si>
</sst>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0.000"/>
    <numFmt numFmtId="166" formatCode="0.0"/>
    <numFmt numFmtId="167" formatCode="0.00000"/>
    <numFmt numFmtId="168" formatCode="0.0000"/>
  </numFmts>
  <fonts count="66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 Cyr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sz val="8"/>
      <name val="Times New Roman"/>
      <family val="1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indexed="9"/>
      <name val="Times New Roman"/>
      <family val="1"/>
    </font>
    <font>
      <sz val="8.5"/>
      <name val="Arial"/>
      <family val="2"/>
    </font>
    <font>
      <sz val="8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 shrinkToFi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 shrinkToFit="1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 shrinkToFit="1"/>
    </xf>
    <xf numFmtId="2" fontId="3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9" fillId="0" borderId="10" xfId="0" applyNumberFormat="1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7" fillId="34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1" fontId="16" fillId="0" borderId="10" xfId="0" applyNumberFormat="1" applyFont="1" applyFill="1" applyBorder="1" applyAlignment="1" applyProtection="1">
      <alignment horizontal="center" vertical="center"/>
      <protection/>
    </xf>
    <xf numFmtId="1" fontId="16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1" fontId="20" fillId="0" borderId="10" xfId="0" applyNumberFormat="1" applyFont="1" applyFill="1" applyBorder="1" applyAlignment="1" applyProtection="1">
      <alignment vertical="center" wrapText="1" shrinkToFit="1"/>
      <protection/>
    </xf>
    <xf numFmtId="1" fontId="16" fillId="0" borderId="10" xfId="0" applyNumberFormat="1" applyFont="1" applyFill="1" applyBorder="1" applyAlignment="1" applyProtection="1">
      <alignment horizontal="left" vertical="center" wrapText="1" shrinkToFit="1"/>
      <protection/>
    </xf>
    <xf numFmtId="2" fontId="16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vertical="center" wrapText="1" shrinkToFit="1"/>
      <protection/>
    </xf>
    <xf numFmtId="0" fontId="16" fillId="0" borderId="10" xfId="0" applyNumberFormat="1" applyFont="1" applyFill="1" applyBorder="1" applyAlignment="1" applyProtection="1">
      <alignment vertic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 shrinkToFit="1"/>
    </xf>
    <xf numFmtId="49" fontId="16" fillId="0" borderId="10" xfId="0" applyNumberFormat="1" applyFont="1" applyFill="1" applyBorder="1" applyAlignment="1">
      <alignment horizontal="left" vertical="center" wrapText="1" shrinkToFi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16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49" fontId="20" fillId="0" borderId="10" xfId="0" applyNumberFormat="1" applyFont="1" applyFill="1" applyBorder="1" applyAlignment="1">
      <alignment vertical="center" wrapText="1" shrinkToFit="1"/>
    </xf>
    <xf numFmtId="0" fontId="16" fillId="0" borderId="10" xfId="0" applyNumberFormat="1" applyFont="1" applyFill="1" applyBorder="1" applyAlignment="1" applyProtection="1">
      <alignment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16" fillId="35" borderId="10" xfId="0" applyNumberFormat="1" applyFont="1" applyFill="1" applyBorder="1" applyAlignment="1" applyProtection="1">
      <alignment horizontal="center" vertical="center"/>
      <protection/>
    </xf>
    <xf numFmtId="0" fontId="18" fillId="35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>
      <alignment horizontal="left" vertical="center" wrapText="1"/>
    </xf>
    <xf numFmtId="165" fontId="16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0" fontId="16" fillId="0" borderId="10" xfId="0" applyNumberFormat="1" applyFont="1" applyFill="1" applyBorder="1" applyAlignment="1" applyProtection="1">
      <alignment horizontal="center" vertical="top"/>
      <protection/>
    </xf>
    <xf numFmtId="1" fontId="16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 applyProtection="1">
      <alignment horizontal="left" vertical="center" wrapText="1" shrinkToFit="1"/>
      <protection/>
    </xf>
    <xf numFmtId="166" fontId="16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16" fillId="0" borderId="10" xfId="0" applyNumberFormat="1" applyFont="1" applyFill="1" applyBorder="1" applyAlignment="1" applyProtection="1">
      <alignment horizontal="right" vertical="center"/>
      <protection locked="0"/>
    </xf>
    <xf numFmtId="2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0" xfId="0" applyNumberFormat="1" applyFont="1" applyFill="1" applyBorder="1" applyAlignment="1" applyProtection="1">
      <alignment horizontal="left" vertical="top" wrapText="1"/>
      <protection locked="0"/>
    </xf>
    <xf numFmtId="0" fontId="16" fillId="0" borderId="10" xfId="0" applyNumberFormat="1" applyFont="1" applyFill="1" applyBorder="1" applyAlignment="1" applyProtection="1">
      <alignment vertical="top" wrapText="1"/>
      <protection locked="0"/>
    </xf>
    <xf numFmtId="1" fontId="16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vertical="center" wrapText="1" shrinkToFit="1"/>
      <protection/>
    </xf>
    <xf numFmtId="1" fontId="16" fillId="0" borderId="0" xfId="0" applyNumberFormat="1" applyFont="1" applyFill="1" applyBorder="1" applyAlignment="1" applyProtection="1">
      <alignment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 wrapText="1" shrinkToFit="1"/>
      <protection/>
    </xf>
    <xf numFmtId="0" fontId="2" fillId="0" borderId="0" xfId="0" applyNumberFormat="1" applyFont="1" applyFill="1" applyBorder="1" applyAlignment="1" applyProtection="1">
      <alignment vertical="center" wrapText="1" shrinkToFit="1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66" fontId="3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1" fontId="65" fillId="0" borderId="10" xfId="0" applyNumberFormat="1" applyFont="1" applyFill="1" applyBorder="1" applyAlignment="1" applyProtection="1">
      <alignment horizontal="center" vertical="center"/>
      <protection/>
    </xf>
    <xf numFmtId="0" fontId="65" fillId="0" borderId="10" xfId="0" applyNumberFormat="1" applyFont="1" applyFill="1" applyBorder="1" applyAlignment="1" applyProtection="1">
      <alignment horizontal="center" vertical="center"/>
      <protection/>
    </xf>
    <xf numFmtId="166" fontId="65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top" wrapText="1" shrinkToFit="1"/>
    </xf>
    <xf numFmtId="2" fontId="65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4" fontId="7" fillId="0" borderId="0" xfId="42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Border="1" applyAlignment="1" applyProtection="1">
      <alignment horizontal="center" vertical="top" wrapText="1"/>
      <protection locked="0"/>
    </xf>
    <xf numFmtId="1" fontId="20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30" fillId="0" borderId="0" xfId="0" applyFont="1" applyBorder="1" applyAlignment="1" applyProtection="1">
      <alignment horizontal="left"/>
      <protection locked="0"/>
    </xf>
    <xf numFmtId="164" fontId="29" fillId="0" borderId="0" xfId="44" applyFont="1" applyFill="1" applyBorder="1" applyAlignment="1" applyProtection="1">
      <alignment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zoomScale="85" zoomScaleNormal="85" zoomScalePageLayoutView="0" workbookViewId="0" topLeftCell="C1">
      <selection activeCell="E1" sqref="E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9.625" style="3" customWidth="1"/>
    <col min="4" max="4" width="53.75390625" style="4" customWidth="1"/>
    <col min="5" max="5" width="37.625" style="4" customWidth="1"/>
    <col min="6" max="6" width="0" style="3" hidden="1" customWidth="1"/>
    <col min="7" max="7" width="0" style="5" hidden="1" customWidth="1"/>
    <col min="8" max="8" width="0" style="6" hidden="1" customWidth="1"/>
    <col min="9" max="16384" width="9.125" style="1" customWidth="1"/>
  </cols>
  <sheetData>
    <row r="1" ht="15.75">
      <c r="E1" s="7" t="s">
        <v>0</v>
      </c>
    </row>
    <row r="3" spans="1:8" ht="32.25" customHeight="1">
      <c r="A3" s="139" t="s">
        <v>1</v>
      </c>
      <c r="B3" s="139"/>
      <c r="C3" s="139"/>
      <c r="D3" s="139"/>
      <c r="E3" s="139"/>
      <c r="F3" s="139"/>
      <c r="G3" s="8"/>
      <c r="H3" s="8"/>
    </row>
    <row r="4" spans="1:8" ht="15.75">
      <c r="A4"/>
      <c r="B4"/>
      <c r="C4" s="9"/>
      <c r="D4" s="140" t="s">
        <v>2</v>
      </c>
      <c r="E4" s="140"/>
      <c r="F4" s="140"/>
      <c r="G4" s="140"/>
      <c r="H4" s="140"/>
    </row>
    <row r="5" spans="1:8" ht="12.75" customHeight="1" hidden="1">
      <c r="A5" s="141"/>
      <c r="B5" s="141"/>
      <c r="C5" s="141"/>
      <c r="D5" s="141"/>
      <c r="E5" s="141"/>
      <c r="F5" s="141"/>
      <c r="G5" s="141"/>
      <c r="H5" s="141"/>
    </row>
    <row r="6" spans="1:8" ht="34.5" customHeight="1">
      <c r="A6" s="142" t="s">
        <v>3</v>
      </c>
      <c r="B6" s="142" t="s">
        <v>4</v>
      </c>
      <c r="C6" s="143" t="s">
        <v>5</v>
      </c>
      <c r="D6" s="144" t="s">
        <v>6</v>
      </c>
      <c r="E6" s="144" t="s">
        <v>7</v>
      </c>
      <c r="F6" s="143" t="s">
        <v>8</v>
      </c>
      <c r="G6" s="11" t="s">
        <v>9</v>
      </c>
      <c r="H6" s="11" t="s">
        <v>10</v>
      </c>
    </row>
    <row r="7" spans="1:8" ht="15" customHeight="1">
      <c r="A7" s="142"/>
      <c r="B7" s="142"/>
      <c r="C7" s="143"/>
      <c r="D7" s="144"/>
      <c r="E7" s="144"/>
      <c r="F7" s="143"/>
      <c r="G7" s="137" t="s">
        <v>11</v>
      </c>
      <c r="H7" s="137"/>
    </row>
    <row r="8" spans="1:8" ht="15.75" customHeight="1">
      <c r="A8" s="142"/>
      <c r="B8" s="142"/>
      <c r="C8" s="143"/>
      <c r="D8" s="144"/>
      <c r="E8" s="144"/>
      <c r="F8" s="143"/>
      <c r="G8" s="137">
        <v>559.4</v>
      </c>
      <c r="H8" s="137"/>
    </row>
    <row r="9" spans="1:8" ht="15.75">
      <c r="A9" s="12">
        <v>1</v>
      </c>
      <c r="B9" s="12">
        <v>2</v>
      </c>
      <c r="C9" s="13">
        <v>1</v>
      </c>
      <c r="D9" s="14">
        <v>2</v>
      </c>
      <c r="E9" s="14">
        <v>3</v>
      </c>
      <c r="F9" s="15">
        <v>4</v>
      </c>
      <c r="G9" s="16">
        <v>5</v>
      </c>
      <c r="H9" s="16">
        <v>6</v>
      </c>
    </row>
    <row r="10" spans="1:8" ht="15.75">
      <c r="A10" s="17"/>
      <c r="B10" s="17"/>
      <c r="C10" s="13">
        <v>1</v>
      </c>
      <c r="D10" s="18" t="s">
        <v>12</v>
      </c>
      <c r="E10" s="18" t="s">
        <v>13</v>
      </c>
      <c r="F10" s="15" t="s">
        <v>14</v>
      </c>
      <c r="G10" s="16">
        <v>720</v>
      </c>
      <c r="H10" s="16">
        <v>850</v>
      </c>
    </row>
    <row r="11" spans="1:8" ht="15.75">
      <c r="A11" s="17"/>
      <c r="B11" s="17"/>
      <c r="C11" s="13">
        <v>2</v>
      </c>
      <c r="D11" s="19" t="s">
        <v>15</v>
      </c>
      <c r="E11" s="19" t="s">
        <v>16</v>
      </c>
      <c r="F11" s="15" t="s">
        <v>14</v>
      </c>
      <c r="G11" s="16">
        <v>7115.57</v>
      </c>
      <c r="H11" s="16">
        <v>8396</v>
      </c>
    </row>
    <row r="12" spans="1:8" ht="15.75">
      <c r="A12" s="17"/>
      <c r="B12" s="17"/>
      <c r="C12" s="13">
        <v>3</v>
      </c>
      <c r="D12" s="19" t="s">
        <v>17</v>
      </c>
      <c r="E12" s="19" t="s">
        <v>18</v>
      </c>
      <c r="F12" s="15" t="s">
        <v>14</v>
      </c>
      <c r="G12" s="16">
        <v>2550.86</v>
      </c>
      <c r="H12" s="16">
        <v>3010</v>
      </c>
    </row>
    <row r="13" spans="1:8" ht="15.75">
      <c r="A13" s="17"/>
      <c r="B13" s="17"/>
      <c r="C13" s="13">
        <v>4</v>
      </c>
      <c r="D13" s="18" t="s">
        <v>19</v>
      </c>
      <c r="E13" s="18" t="s">
        <v>18</v>
      </c>
      <c r="F13" s="15" t="s">
        <v>14</v>
      </c>
      <c r="G13" s="16">
        <v>1641.05</v>
      </c>
      <c r="H13" s="16">
        <v>1937</v>
      </c>
    </row>
    <row r="14" spans="1:8" ht="15.75">
      <c r="A14" s="17"/>
      <c r="B14" s="17"/>
      <c r="C14" s="13">
        <v>5</v>
      </c>
      <c r="D14" s="19" t="s">
        <v>20</v>
      </c>
      <c r="E14" s="19" t="s">
        <v>21</v>
      </c>
      <c r="F14" s="15" t="s">
        <v>14</v>
      </c>
      <c r="G14" s="16">
        <v>1745.33</v>
      </c>
      <c r="H14" s="16">
        <v>2059</v>
      </c>
    </row>
    <row r="15" spans="1:8" ht="15.75">
      <c r="A15" s="17"/>
      <c r="B15" s="17"/>
      <c r="C15" s="13">
        <v>6</v>
      </c>
      <c r="D15" s="19" t="s">
        <v>22</v>
      </c>
      <c r="E15" s="19" t="s">
        <v>23</v>
      </c>
      <c r="F15" s="15" t="s">
        <v>14</v>
      </c>
      <c r="G15" s="16">
        <v>624.6</v>
      </c>
      <c r="H15" s="16">
        <v>737</v>
      </c>
    </row>
    <row r="16" spans="1:8" ht="15.75" hidden="1">
      <c r="A16" s="17"/>
      <c r="B16" s="17"/>
      <c r="C16" s="13"/>
      <c r="D16" s="20" t="s">
        <v>24</v>
      </c>
      <c r="E16" s="20"/>
      <c r="F16" s="15"/>
      <c r="G16" s="21">
        <v>9</v>
      </c>
      <c r="H16" s="16"/>
    </row>
    <row r="17" spans="1:8" ht="15.75" customHeight="1">
      <c r="A17" s="134" t="s">
        <v>25</v>
      </c>
      <c r="B17" s="134"/>
      <c r="C17" s="22"/>
      <c r="D17" s="23" t="s">
        <v>26</v>
      </c>
      <c r="E17" s="23"/>
      <c r="F17" s="16"/>
      <c r="G17" s="21">
        <v>9</v>
      </c>
      <c r="H17" s="16"/>
    </row>
    <row r="18" spans="1:8" ht="25.5">
      <c r="A18" s="24">
        <v>1</v>
      </c>
      <c r="B18" s="24" t="s">
        <v>27</v>
      </c>
      <c r="C18" s="10">
        <v>7</v>
      </c>
      <c r="D18" s="25" t="s">
        <v>28</v>
      </c>
      <c r="E18" s="25" t="s">
        <v>29</v>
      </c>
      <c r="F18" s="26" t="s">
        <v>30</v>
      </c>
      <c r="G18" s="16">
        <v>6</v>
      </c>
      <c r="H18" s="16">
        <v>3384</v>
      </c>
    </row>
    <row r="19" spans="1:8" ht="15.75" customHeight="1">
      <c r="A19" s="134" t="s">
        <v>31</v>
      </c>
      <c r="B19" s="134"/>
      <c r="C19" s="22"/>
      <c r="D19" s="23" t="s">
        <v>32</v>
      </c>
      <c r="E19" s="23"/>
      <c r="F19" s="16"/>
      <c r="G19" s="21">
        <v>9</v>
      </c>
      <c r="H19" s="16"/>
    </row>
    <row r="20" spans="1:8" ht="25.5">
      <c r="A20" s="24">
        <v>3</v>
      </c>
      <c r="B20" s="24" t="s">
        <v>33</v>
      </c>
      <c r="C20" s="10">
        <v>8</v>
      </c>
      <c r="D20" s="25" t="s">
        <v>34</v>
      </c>
      <c r="E20" s="25" t="s">
        <v>29</v>
      </c>
      <c r="F20" s="26" t="s">
        <v>35</v>
      </c>
      <c r="G20" s="16">
        <v>1</v>
      </c>
      <c r="H20" s="16">
        <v>309</v>
      </c>
    </row>
    <row r="21" spans="1:8" ht="25.5">
      <c r="A21" s="24">
        <v>4</v>
      </c>
      <c r="B21" s="24" t="s">
        <v>36</v>
      </c>
      <c r="C21" s="10">
        <v>9</v>
      </c>
      <c r="D21" s="25" t="s">
        <v>37</v>
      </c>
      <c r="E21" s="25" t="s">
        <v>29</v>
      </c>
      <c r="F21" s="26" t="s">
        <v>35</v>
      </c>
      <c r="G21" s="16">
        <v>1</v>
      </c>
      <c r="H21" s="16">
        <v>399</v>
      </c>
    </row>
    <row r="22" spans="1:8" ht="25.5">
      <c r="A22" s="24">
        <v>5</v>
      </c>
      <c r="B22" s="24" t="s">
        <v>38</v>
      </c>
      <c r="C22" s="10">
        <v>10</v>
      </c>
      <c r="D22" s="25" t="s">
        <v>39</v>
      </c>
      <c r="E22" s="25" t="s">
        <v>29</v>
      </c>
      <c r="F22" s="26" t="s">
        <v>40</v>
      </c>
      <c r="G22" s="16">
        <v>0.15</v>
      </c>
      <c r="H22" s="16">
        <v>781</v>
      </c>
    </row>
    <row r="23" spans="1:8" ht="25.5">
      <c r="A23" s="24">
        <v>7</v>
      </c>
      <c r="B23" s="24" t="s">
        <v>41</v>
      </c>
      <c r="C23" s="10">
        <v>11</v>
      </c>
      <c r="D23" s="25" t="s">
        <v>42</v>
      </c>
      <c r="E23" s="25" t="s">
        <v>29</v>
      </c>
      <c r="F23" s="26" t="s">
        <v>40</v>
      </c>
      <c r="G23" s="16">
        <v>0.2</v>
      </c>
      <c r="H23" s="16">
        <v>87</v>
      </c>
    </row>
    <row r="24" spans="1:8" ht="25.5">
      <c r="A24" s="24">
        <v>8</v>
      </c>
      <c r="B24" s="24" t="s">
        <v>43</v>
      </c>
      <c r="C24" s="10">
        <v>12</v>
      </c>
      <c r="D24" s="25" t="s">
        <v>44</v>
      </c>
      <c r="E24" s="25" t="s">
        <v>29</v>
      </c>
      <c r="F24" s="26" t="s">
        <v>45</v>
      </c>
      <c r="G24" s="16">
        <v>1</v>
      </c>
      <c r="H24" s="16">
        <v>384</v>
      </c>
    </row>
    <row r="25" spans="1:8" ht="15.75" customHeight="1">
      <c r="A25" s="138" t="s">
        <v>46</v>
      </c>
      <c r="B25" s="138"/>
      <c r="C25" s="27"/>
      <c r="D25" s="23" t="s">
        <v>47</v>
      </c>
      <c r="E25" s="23"/>
      <c r="F25" s="26"/>
      <c r="G25" s="16"/>
      <c r="H25" s="16"/>
    </row>
    <row r="26" spans="1:8" ht="25.5">
      <c r="A26" s="24">
        <v>189</v>
      </c>
      <c r="B26" s="24" t="s">
        <v>48</v>
      </c>
      <c r="C26" s="10">
        <v>13</v>
      </c>
      <c r="D26" s="25" t="s">
        <v>49</v>
      </c>
      <c r="E26" s="25"/>
      <c r="F26" s="26" t="s">
        <v>40</v>
      </c>
      <c r="G26" s="16">
        <v>2.2555</v>
      </c>
      <c r="H26" s="16">
        <v>6225</v>
      </c>
    </row>
    <row r="27" spans="1:8" ht="25.5">
      <c r="A27" s="24">
        <v>918</v>
      </c>
      <c r="B27" s="24" t="s">
        <v>50</v>
      </c>
      <c r="C27" s="10">
        <v>14</v>
      </c>
      <c r="D27" s="25" t="s">
        <v>51</v>
      </c>
      <c r="E27" s="25"/>
      <c r="F27" s="26" t="s">
        <v>52</v>
      </c>
      <c r="G27" s="16">
        <v>9.022</v>
      </c>
      <c r="H27" s="16">
        <v>6474</v>
      </c>
    </row>
    <row r="28" spans="1:8" ht="25.5">
      <c r="A28" s="24">
        <v>919</v>
      </c>
      <c r="B28" s="24" t="s">
        <v>53</v>
      </c>
      <c r="C28" s="10">
        <v>15</v>
      </c>
      <c r="D28" s="25" t="s">
        <v>54</v>
      </c>
      <c r="E28" s="25"/>
      <c r="F28" s="26" t="s">
        <v>52</v>
      </c>
      <c r="G28" s="16">
        <v>8.1198</v>
      </c>
      <c r="H28" s="16">
        <v>1154</v>
      </c>
    </row>
    <row r="29" spans="1:9" ht="40.5" customHeight="1">
      <c r="A29" s="134" t="s">
        <v>55</v>
      </c>
      <c r="B29" s="134"/>
      <c r="C29" s="134"/>
      <c r="D29" s="134"/>
      <c r="E29" s="134"/>
      <c r="F29" s="134"/>
      <c r="G29" s="21">
        <v>9</v>
      </c>
      <c r="H29" s="16"/>
      <c r="I29" s="28"/>
    </row>
    <row r="30" spans="1:8" ht="15.75" customHeight="1">
      <c r="A30" s="134" t="s">
        <v>56</v>
      </c>
      <c r="B30" s="134"/>
      <c r="C30" s="22"/>
      <c r="D30" s="23" t="s">
        <v>57</v>
      </c>
      <c r="E30" s="23"/>
      <c r="F30" s="16"/>
      <c r="G30" s="21">
        <v>9</v>
      </c>
      <c r="H30" s="16"/>
    </row>
    <row r="31" spans="1:8" ht="38.25">
      <c r="A31" s="24">
        <v>25</v>
      </c>
      <c r="B31" s="24" t="s">
        <v>58</v>
      </c>
      <c r="C31" s="10">
        <v>16</v>
      </c>
      <c r="D31" s="29" t="s">
        <v>59</v>
      </c>
      <c r="E31" s="25" t="s">
        <v>60</v>
      </c>
      <c r="F31" s="26" t="s">
        <v>61</v>
      </c>
      <c r="G31" s="16">
        <v>5</v>
      </c>
      <c r="H31" s="16">
        <v>1325</v>
      </c>
    </row>
    <row r="32" spans="1:8" ht="38.25">
      <c r="A32" s="24">
        <v>26</v>
      </c>
      <c r="B32" s="24" t="s">
        <v>62</v>
      </c>
      <c r="C32" s="10">
        <v>17</v>
      </c>
      <c r="D32" s="29" t="s">
        <v>63</v>
      </c>
      <c r="E32" s="25" t="s">
        <v>60</v>
      </c>
      <c r="F32" s="26" t="s">
        <v>61</v>
      </c>
      <c r="G32" s="16">
        <v>5</v>
      </c>
      <c r="H32" s="16">
        <v>1765</v>
      </c>
    </row>
    <row r="33" spans="1:8" ht="38.25">
      <c r="A33" s="24">
        <v>27</v>
      </c>
      <c r="B33" s="24" t="s">
        <v>64</v>
      </c>
      <c r="C33" s="10">
        <v>18</v>
      </c>
      <c r="D33" s="29" t="s">
        <v>65</v>
      </c>
      <c r="E33" s="25" t="s">
        <v>60</v>
      </c>
      <c r="F33" s="26" t="s">
        <v>61</v>
      </c>
      <c r="G33" s="16">
        <v>1</v>
      </c>
      <c r="H33" s="16">
        <v>500</v>
      </c>
    </row>
    <row r="34" spans="1:8" ht="15.75">
      <c r="A34" s="24">
        <v>28</v>
      </c>
      <c r="B34" s="24" t="s">
        <v>66</v>
      </c>
      <c r="C34" s="10">
        <v>19</v>
      </c>
      <c r="D34" s="29" t="s">
        <v>67</v>
      </c>
      <c r="E34" s="29" t="s">
        <v>68</v>
      </c>
      <c r="F34" s="26" t="s">
        <v>69</v>
      </c>
      <c r="G34" s="16">
        <v>4</v>
      </c>
      <c r="H34" s="16">
        <v>332</v>
      </c>
    </row>
    <row r="35" spans="1:8" ht="15.75">
      <c r="A35" s="24">
        <v>29</v>
      </c>
      <c r="B35" s="24" t="s">
        <v>70</v>
      </c>
      <c r="C35" s="10">
        <v>20</v>
      </c>
      <c r="D35" s="29" t="s">
        <v>71</v>
      </c>
      <c r="E35" s="29" t="s">
        <v>68</v>
      </c>
      <c r="F35" s="26" t="s">
        <v>69</v>
      </c>
      <c r="G35" s="16">
        <v>2</v>
      </c>
      <c r="H35" s="16">
        <v>270</v>
      </c>
    </row>
    <row r="36" spans="1:8" ht="15.75">
      <c r="A36" s="24">
        <v>33</v>
      </c>
      <c r="B36" s="24" t="s">
        <v>72</v>
      </c>
      <c r="C36" s="10">
        <v>21</v>
      </c>
      <c r="D36" s="29" t="s">
        <v>73</v>
      </c>
      <c r="E36" s="29" t="s">
        <v>68</v>
      </c>
      <c r="F36" s="26" t="s">
        <v>74</v>
      </c>
      <c r="G36" s="16">
        <v>1</v>
      </c>
      <c r="H36" s="16">
        <v>514</v>
      </c>
    </row>
    <row r="37" spans="1:8" ht="25.5">
      <c r="A37" s="24">
        <v>55</v>
      </c>
      <c r="B37" s="24" t="s">
        <v>75</v>
      </c>
      <c r="C37" s="10">
        <v>22</v>
      </c>
      <c r="D37" s="29" t="s">
        <v>76</v>
      </c>
      <c r="E37" s="29" t="s">
        <v>68</v>
      </c>
      <c r="F37" s="26" t="s">
        <v>77</v>
      </c>
      <c r="G37" s="16">
        <v>1</v>
      </c>
      <c r="H37" s="16">
        <v>451</v>
      </c>
    </row>
    <row r="38" spans="1:8" ht="15.75">
      <c r="A38" s="24">
        <v>64</v>
      </c>
      <c r="B38" s="24" t="s">
        <v>78</v>
      </c>
      <c r="C38" s="10">
        <v>23</v>
      </c>
      <c r="D38" s="29" t="s">
        <v>79</v>
      </c>
      <c r="E38" s="29" t="s">
        <v>68</v>
      </c>
      <c r="F38" s="26" t="s">
        <v>77</v>
      </c>
      <c r="G38" s="16">
        <v>12</v>
      </c>
      <c r="H38" s="16">
        <v>277</v>
      </c>
    </row>
    <row r="39" spans="1:8" ht="15.75">
      <c r="A39" s="24">
        <v>65</v>
      </c>
      <c r="B39" s="24" t="s">
        <v>80</v>
      </c>
      <c r="C39" s="10">
        <v>24</v>
      </c>
      <c r="D39" s="29" t="s">
        <v>81</v>
      </c>
      <c r="E39" s="29" t="s">
        <v>68</v>
      </c>
      <c r="F39" s="26" t="s">
        <v>74</v>
      </c>
      <c r="G39" s="16">
        <v>4</v>
      </c>
      <c r="H39" s="16">
        <v>198</v>
      </c>
    </row>
    <row r="40" spans="1:8" ht="15.75">
      <c r="A40" s="24">
        <v>66</v>
      </c>
      <c r="B40" s="24" t="s">
        <v>82</v>
      </c>
      <c r="C40" s="10">
        <v>25</v>
      </c>
      <c r="D40" s="29" t="s">
        <v>83</v>
      </c>
      <c r="E40" s="29" t="s">
        <v>68</v>
      </c>
      <c r="F40" s="26" t="s">
        <v>74</v>
      </c>
      <c r="G40" s="16">
        <v>2</v>
      </c>
      <c r="H40" s="16">
        <v>346</v>
      </c>
    </row>
    <row r="41" spans="1:8" ht="15.75">
      <c r="A41" s="24">
        <v>67</v>
      </c>
      <c r="B41" s="24" t="s">
        <v>84</v>
      </c>
      <c r="C41" s="10">
        <v>26</v>
      </c>
      <c r="D41" s="29" t="s">
        <v>85</v>
      </c>
      <c r="E41" s="29" t="s">
        <v>68</v>
      </c>
      <c r="F41" s="26" t="s">
        <v>74</v>
      </c>
      <c r="G41" s="16">
        <v>2</v>
      </c>
      <c r="H41" s="16">
        <v>484</v>
      </c>
    </row>
    <row r="42" spans="1:8" ht="38.25">
      <c r="A42" s="24">
        <v>73</v>
      </c>
      <c r="B42" s="24" t="s">
        <v>86</v>
      </c>
      <c r="C42" s="10">
        <v>27</v>
      </c>
      <c r="D42" s="29" t="s">
        <v>87</v>
      </c>
      <c r="E42" s="29" t="s">
        <v>23</v>
      </c>
      <c r="F42" s="26" t="s">
        <v>88</v>
      </c>
      <c r="G42" s="16">
        <v>1</v>
      </c>
      <c r="H42" s="16">
        <v>3464</v>
      </c>
    </row>
    <row r="43" spans="1:8" ht="15.75">
      <c r="A43" s="24">
        <v>83</v>
      </c>
      <c r="B43" s="24" t="s">
        <v>89</v>
      </c>
      <c r="C43" s="10">
        <v>28</v>
      </c>
      <c r="D43" s="29" t="s">
        <v>90</v>
      </c>
      <c r="E43" s="29" t="s">
        <v>68</v>
      </c>
      <c r="F43" s="26" t="s">
        <v>74</v>
      </c>
      <c r="G43" s="16">
        <v>12</v>
      </c>
      <c r="H43" s="16">
        <v>424</v>
      </c>
    </row>
    <row r="44" spans="1:8" ht="25.5">
      <c r="A44" s="24">
        <v>84</v>
      </c>
      <c r="B44" s="24" t="s">
        <v>91</v>
      </c>
      <c r="C44" s="10">
        <v>29</v>
      </c>
      <c r="D44" s="29" t="s">
        <v>92</v>
      </c>
      <c r="E44" s="29" t="s">
        <v>68</v>
      </c>
      <c r="F44" s="26" t="s">
        <v>74</v>
      </c>
      <c r="G44" s="16">
        <v>12</v>
      </c>
      <c r="H44" s="16">
        <v>1236</v>
      </c>
    </row>
    <row r="45" spans="1:8" ht="15.75">
      <c r="A45" s="24">
        <v>87</v>
      </c>
      <c r="B45" s="24" t="s">
        <v>93</v>
      </c>
      <c r="C45" s="10">
        <v>30</v>
      </c>
      <c r="D45" s="29" t="s">
        <v>94</v>
      </c>
      <c r="E45" s="29" t="s">
        <v>68</v>
      </c>
      <c r="F45" s="26" t="s">
        <v>95</v>
      </c>
      <c r="G45" s="16">
        <v>3.15</v>
      </c>
      <c r="H45" s="16">
        <v>3027</v>
      </c>
    </row>
    <row r="46" spans="1:8" ht="15.75">
      <c r="A46" s="24">
        <v>88</v>
      </c>
      <c r="B46" s="24" t="s">
        <v>96</v>
      </c>
      <c r="C46" s="10">
        <v>31</v>
      </c>
      <c r="D46" s="29" t="s">
        <v>97</v>
      </c>
      <c r="E46" s="29" t="s">
        <v>23</v>
      </c>
      <c r="F46" s="26" t="s">
        <v>74</v>
      </c>
      <c r="G46" s="16">
        <v>1</v>
      </c>
      <c r="H46" s="16">
        <v>50</v>
      </c>
    </row>
    <row r="47" spans="1:9" ht="15.75" customHeight="1">
      <c r="A47" s="134" t="s">
        <v>31</v>
      </c>
      <c r="B47" s="134"/>
      <c r="C47" s="22"/>
      <c r="D47" s="135" t="s">
        <v>98</v>
      </c>
      <c r="E47" s="135"/>
      <c r="F47" s="135"/>
      <c r="G47" s="21">
        <v>9</v>
      </c>
      <c r="H47" s="16"/>
      <c r="I47" s="28"/>
    </row>
    <row r="48" spans="1:8" ht="15.75">
      <c r="A48" s="24">
        <v>685</v>
      </c>
      <c r="B48" s="24" t="s">
        <v>99</v>
      </c>
      <c r="C48" s="10">
        <v>32</v>
      </c>
      <c r="D48" s="29" t="s">
        <v>100</v>
      </c>
      <c r="E48" s="29" t="s">
        <v>68</v>
      </c>
      <c r="F48" s="26" t="s">
        <v>61</v>
      </c>
      <c r="G48" s="16">
        <v>15</v>
      </c>
      <c r="H48" s="16">
        <v>737</v>
      </c>
    </row>
    <row r="49" spans="1:9" ht="15.75" customHeight="1">
      <c r="A49" s="134" t="s">
        <v>101</v>
      </c>
      <c r="B49" s="134"/>
      <c r="C49" s="22"/>
      <c r="D49" s="135" t="s">
        <v>102</v>
      </c>
      <c r="E49" s="135"/>
      <c r="F49" s="135"/>
      <c r="G49" s="21">
        <v>9</v>
      </c>
      <c r="H49" s="16"/>
      <c r="I49" s="28"/>
    </row>
    <row r="50" spans="1:8" ht="15.75">
      <c r="A50" s="24">
        <v>712</v>
      </c>
      <c r="B50" s="24" t="s">
        <v>103</v>
      </c>
      <c r="C50" s="10">
        <v>33</v>
      </c>
      <c r="D50" s="25" t="s">
        <v>104</v>
      </c>
      <c r="E50" s="29" t="s">
        <v>68</v>
      </c>
      <c r="F50" s="26" t="s">
        <v>105</v>
      </c>
      <c r="G50" s="16">
        <v>0.6</v>
      </c>
      <c r="H50" s="16">
        <v>155</v>
      </c>
    </row>
    <row r="51" spans="1:8" ht="15.75">
      <c r="A51" s="24">
        <v>726</v>
      </c>
      <c r="B51" s="24" t="s">
        <v>106</v>
      </c>
      <c r="C51" s="10">
        <v>34</v>
      </c>
      <c r="D51" s="25" t="s">
        <v>107</v>
      </c>
      <c r="E51" s="29" t="s">
        <v>68</v>
      </c>
      <c r="F51" s="26" t="s">
        <v>108</v>
      </c>
      <c r="G51" s="16">
        <v>7.5</v>
      </c>
      <c r="H51" s="16">
        <v>400</v>
      </c>
    </row>
    <row r="52" spans="1:8" ht="15.75">
      <c r="A52" s="24">
        <v>730</v>
      </c>
      <c r="B52" s="24" t="s">
        <v>109</v>
      </c>
      <c r="C52" s="10">
        <v>35</v>
      </c>
      <c r="D52" s="25" t="s">
        <v>110</v>
      </c>
      <c r="E52" s="25" t="s">
        <v>21</v>
      </c>
      <c r="F52" s="26" t="s">
        <v>111</v>
      </c>
      <c r="G52" s="16">
        <v>1</v>
      </c>
      <c r="H52" s="16">
        <v>19</v>
      </c>
    </row>
    <row r="53" spans="1:8" ht="15.75" customHeight="1">
      <c r="A53" s="134" t="s">
        <v>112</v>
      </c>
      <c r="B53" s="134"/>
      <c r="C53" s="22"/>
      <c r="D53" s="23" t="s">
        <v>113</v>
      </c>
      <c r="E53" s="23"/>
      <c r="F53" s="16"/>
      <c r="G53" s="21">
        <v>9</v>
      </c>
      <c r="H53" s="16"/>
    </row>
    <row r="54" spans="1:8" ht="25.5">
      <c r="A54" s="24">
        <v>90</v>
      </c>
      <c r="B54" s="24" t="s">
        <v>114</v>
      </c>
      <c r="C54" s="10">
        <v>36</v>
      </c>
      <c r="D54" s="25" t="s">
        <v>115</v>
      </c>
      <c r="E54" s="25" t="s">
        <v>116</v>
      </c>
      <c r="F54" s="26" t="s">
        <v>117</v>
      </c>
      <c r="G54" s="16">
        <v>0.06</v>
      </c>
      <c r="H54" s="16">
        <v>76</v>
      </c>
    </row>
    <row r="55" spans="1:8" ht="15.75">
      <c r="A55" s="24">
        <v>92</v>
      </c>
      <c r="B55" s="24" t="s">
        <v>118</v>
      </c>
      <c r="C55" s="10">
        <v>37</v>
      </c>
      <c r="D55" s="25" t="s">
        <v>119</v>
      </c>
      <c r="E55" s="25" t="s">
        <v>116</v>
      </c>
      <c r="F55" s="26" t="s">
        <v>120</v>
      </c>
      <c r="G55" s="16">
        <v>0.01</v>
      </c>
      <c r="H55" s="16">
        <v>26</v>
      </c>
    </row>
    <row r="56" spans="1:8" ht="15.75">
      <c r="A56" s="24">
        <v>93</v>
      </c>
      <c r="B56" s="24" t="s">
        <v>121</v>
      </c>
      <c r="C56" s="10">
        <v>38</v>
      </c>
      <c r="D56" s="25" t="s">
        <v>122</v>
      </c>
      <c r="E56" s="25" t="s">
        <v>123</v>
      </c>
      <c r="F56" s="26" t="s">
        <v>124</v>
      </c>
      <c r="G56" s="16">
        <v>0.12</v>
      </c>
      <c r="H56" s="16">
        <v>1013</v>
      </c>
    </row>
    <row r="57" spans="1:9" ht="22.5" customHeight="1">
      <c r="A57" s="134" t="s">
        <v>125</v>
      </c>
      <c r="B57" s="134"/>
      <c r="C57" s="134"/>
      <c r="D57" s="134"/>
      <c r="E57" s="134"/>
      <c r="F57" s="134"/>
      <c r="G57" s="21">
        <v>9</v>
      </c>
      <c r="H57" s="16"/>
      <c r="I57" s="28"/>
    </row>
    <row r="58" spans="1:9" ht="15.75" customHeight="1">
      <c r="A58" s="134" t="s">
        <v>126</v>
      </c>
      <c r="B58" s="134"/>
      <c r="C58" s="22"/>
      <c r="D58" s="135" t="s">
        <v>127</v>
      </c>
      <c r="E58" s="135"/>
      <c r="F58" s="135"/>
      <c r="G58" s="21">
        <v>9</v>
      </c>
      <c r="H58" s="16"/>
      <c r="I58" s="28"/>
    </row>
    <row r="59" spans="1:8" ht="25.5">
      <c r="A59" s="24">
        <v>94</v>
      </c>
      <c r="B59" s="24" t="s">
        <v>128</v>
      </c>
      <c r="C59" s="10">
        <v>39</v>
      </c>
      <c r="D59" s="25" t="s">
        <v>129</v>
      </c>
      <c r="E59" s="25" t="s">
        <v>130</v>
      </c>
      <c r="F59" s="26" t="s">
        <v>52</v>
      </c>
      <c r="G59" s="16">
        <v>27.3</v>
      </c>
      <c r="H59" s="16">
        <v>2198</v>
      </c>
    </row>
    <row r="60" spans="1:9" ht="15.75" customHeight="1">
      <c r="A60" s="134" t="s">
        <v>131</v>
      </c>
      <c r="B60" s="134"/>
      <c r="C60" s="22"/>
      <c r="D60" s="135" t="s">
        <v>132</v>
      </c>
      <c r="E60" s="135"/>
      <c r="F60" s="135"/>
      <c r="G60" s="21">
        <v>9</v>
      </c>
      <c r="H60" s="16"/>
      <c r="I60" s="28"/>
    </row>
    <row r="61" spans="1:8" ht="15.75">
      <c r="A61" s="24">
        <v>111</v>
      </c>
      <c r="B61" s="24" t="s">
        <v>133</v>
      </c>
      <c r="C61" s="10">
        <v>40</v>
      </c>
      <c r="D61" s="25" t="s">
        <v>134</v>
      </c>
      <c r="E61" s="25" t="s">
        <v>135</v>
      </c>
      <c r="F61" s="26" t="s">
        <v>136</v>
      </c>
      <c r="G61" s="16">
        <v>2167.2</v>
      </c>
      <c r="H61" s="16">
        <v>3533</v>
      </c>
    </row>
    <row r="62" spans="1:9" ht="15.75" customHeight="1">
      <c r="A62" s="134" t="s">
        <v>137</v>
      </c>
      <c r="B62" s="134"/>
      <c r="C62" s="30"/>
      <c r="D62" s="135" t="s">
        <v>138</v>
      </c>
      <c r="E62" s="135"/>
      <c r="F62" s="135"/>
      <c r="G62" s="21">
        <v>9</v>
      </c>
      <c r="H62" s="16"/>
      <c r="I62" s="28"/>
    </row>
    <row r="63" spans="1:8" ht="25.5">
      <c r="A63" s="24">
        <v>112</v>
      </c>
      <c r="B63" s="24" t="s">
        <v>139</v>
      </c>
      <c r="C63" s="10">
        <v>41</v>
      </c>
      <c r="D63" s="29" t="s">
        <v>140</v>
      </c>
      <c r="E63" s="29" t="s">
        <v>141</v>
      </c>
      <c r="F63" s="26" t="s">
        <v>142</v>
      </c>
      <c r="G63" s="16">
        <v>11.55</v>
      </c>
      <c r="H63" s="16">
        <v>1372</v>
      </c>
    </row>
    <row r="64" spans="1:8" ht="15.75">
      <c r="A64" s="24">
        <v>114</v>
      </c>
      <c r="B64" s="24" t="s">
        <v>143</v>
      </c>
      <c r="C64" s="10">
        <v>42</v>
      </c>
      <c r="D64" s="25" t="s">
        <v>144</v>
      </c>
      <c r="E64" s="25" t="s">
        <v>141</v>
      </c>
      <c r="F64" s="26" t="s">
        <v>142</v>
      </c>
      <c r="G64" s="16">
        <v>4.5</v>
      </c>
      <c r="H64" s="16">
        <v>875</v>
      </c>
    </row>
    <row r="65" spans="1:8" ht="15.75">
      <c r="A65" s="24">
        <v>121</v>
      </c>
      <c r="B65" s="24" t="s">
        <v>145</v>
      </c>
      <c r="C65" s="10">
        <v>43</v>
      </c>
      <c r="D65" s="25" t="s">
        <v>146</v>
      </c>
      <c r="E65" s="25" t="s">
        <v>130</v>
      </c>
      <c r="F65" s="26" t="s">
        <v>142</v>
      </c>
      <c r="G65" s="16">
        <v>6.888</v>
      </c>
      <c r="H65" s="16">
        <v>493</v>
      </c>
    </row>
    <row r="66" spans="1:8" ht="15.75">
      <c r="A66" s="24">
        <v>122</v>
      </c>
      <c r="B66" s="24" t="s">
        <v>147</v>
      </c>
      <c r="C66" s="10">
        <v>44</v>
      </c>
      <c r="D66" s="25" t="s">
        <v>148</v>
      </c>
      <c r="E66" s="25" t="s">
        <v>149</v>
      </c>
      <c r="F66" s="26" t="s">
        <v>142</v>
      </c>
      <c r="G66" s="16">
        <v>1.148</v>
      </c>
      <c r="H66" s="16">
        <v>1592</v>
      </c>
    </row>
    <row r="67" spans="1:9" ht="15.75" customHeight="1">
      <c r="A67" s="134" t="s">
        <v>150</v>
      </c>
      <c r="B67" s="134"/>
      <c r="C67" s="22"/>
      <c r="D67" s="135" t="s">
        <v>151</v>
      </c>
      <c r="E67" s="135"/>
      <c r="F67" s="135"/>
      <c r="G67" s="21">
        <v>9</v>
      </c>
      <c r="H67" s="16"/>
      <c r="I67" s="28"/>
    </row>
    <row r="68" spans="1:8" ht="25.5">
      <c r="A68" s="24">
        <v>125</v>
      </c>
      <c r="B68" s="24" t="s">
        <v>152</v>
      </c>
      <c r="C68" s="10">
        <v>45</v>
      </c>
      <c r="D68" s="29" t="s">
        <v>153</v>
      </c>
      <c r="E68" s="29" t="s">
        <v>141</v>
      </c>
      <c r="F68" s="26" t="s">
        <v>142</v>
      </c>
      <c r="G68" s="16">
        <v>34.65</v>
      </c>
      <c r="H68" s="16">
        <v>5580</v>
      </c>
    </row>
    <row r="69" spans="1:8" ht="25.5">
      <c r="A69" s="24">
        <v>132</v>
      </c>
      <c r="B69" s="24" t="s">
        <v>154</v>
      </c>
      <c r="C69" s="10">
        <v>46</v>
      </c>
      <c r="D69" s="29" t="s">
        <v>155</v>
      </c>
      <c r="E69" s="29" t="s">
        <v>141</v>
      </c>
      <c r="F69" s="26" t="s">
        <v>142</v>
      </c>
      <c r="G69" s="16">
        <v>11.55</v>
      </c>
      <c r="H69" s="16">
        <v>11151</v>
      </c>
    </row>
    <row r="70" spans="1:8" ht="15.75">
      <c r="A70" s="31"/>
      <c r="B70" s="32" t="s">
        <v>156</v>
      </c>
      <c r="C70" s="33">
        <v>47</v>
      </c>
      <c r="D70" s="34" t="s">
        <v>157</v>
      </c>
      <c r="E70" s="34" t="s">
        <v>158</v>
      </c>
      <c r="F70" s="33" t="s">
        <v>159</v>
      </c>
      <c r="G70" s="33">
        <v>0.04</v>
      </c>
      <c r="H70" s="33">
        <v>2936</v>
      </c>
    </row>
    <row r="71" spans="1:8" ht="25.5">
      <c r="A71" s="31"/>
      <c r="B71" s="32" t="s">
        <v>160</v>
      </c>
      <c r="C71" s="33">
        <v>48</v>
      </c>
      <c r="D71" s="34" t="s">
        <v>161</v>
      </c>
      <c r="E71" s="34" t="s">
        <v>158</v>
      </c>
      <c r="F71" s="16" t="s">
        <v>52</v>
      </c>
      <c r="G71" s="16">
        <v>0.02</v>
      </c>
      <c r="H71" s="16">
        <v>1861</v>
      </c>
    </row>
    <row r="72" spans="1:8" ht="15.75" hidden="1">
      <c r="A72" s="31"/>
      <c r="B72" s="32"/>
      <c r="C72" s="33"/>
      <c r="D72" s="35" t="s">
        <v>162</v>
      </c>
      <c r="E72" s="35"/>
      <c r="F72" s="33"/>
      <c r="G72" s="33"/>
      <c r="H72" s="36">
        <v>84866</v>
      </c>
    </row>
    <row r="73" spans="1:9" ht="12.75" customHeight="1" hidden="1">
      <c r="A73" s="31"/>
      <c r="B73" s="32"/>
      <c r="C73" s="37"/>
      <c r="D73" s="136" t="s">
        <v>163</v>
      </c>
      <c r="E73" s="136"/>
      <c r="F73" s="136"/>
      <c r="G73" s="136"/>
      <c r="H73" s="136"/>
      <c r="I73" s="28"/>
    </row>
    <row r="74" spans="1:8" ht="15.75" hidden="1">
      <c r="A74" s="31"/>
      <c r="B74" s="32"/>
      <c r="C74" s="33"/>
      <c r="D74" s="38" t="s">
        <v>164</v>
      </c>
      <c r="E74" s="38"/>
      <c r="F74" s="16"/>
      <c r="G74" s="39">
        <v>11.391669646049339</v>
      </c>
      <c r="H74" s="36">
        <v>76470</v>
      </c>
    </row>
    <row r="75" spans="1:8" ht="15.75" hidden="1">
      <c r="A75" s="31"/>
      <c r="B75" s="32"/>
      <c r="C75" s="33"/>
      <c r="D75" s="40" t="s">
        <v>165</v>
      </c>
      <c r="E75" s="40"/>
      <c r="F75" s="16"/>
      <c r="G75" s="39">
        <v>1.2507448456679775</v>
      </c>
      <c r="H75" s="36">
        <v>8396</v>
      </c>
    </row>
    <row r="76" spans="1:8" ht="15.75" hidden="1">
      <c r="A76" s="24"/>
      <c r="B76" s="24"/>
      <c r="C76" s="10"/>
      <c r="D76" s="41" t="s">
        <v>166</v>
      </c>
      <c r="E76" s="41"/>
      <c r="F76" s="26"/>
      <c r="G76" s="42">
        <v>9</v>
      </c>
      <c r="H76" s="36"/>
    </row>
    <row r="77" spans="1:8" ht="12.75" customHeight="1" hidden="1">
      <c r="A77" s="43"/>
      <c r="B77" s="134" t="s">
        <v>167</v>
      </c>
      <c r="C77" s="134"/>
      <c r="D77" s="134"/>
      <c r="E77" s="134"/>
      <c r="F77" s="134"/>
      <c r="G77" s="42">
        <v>9</v>
      </c>
      <c r="H77" s="36"/>
    </row>
    <row r="78" spans="1:8" ht="12.75" customHeight="1" hidden="1">
      <c r="A78" s="134" t="s">
        <v>25</v>
      </c>
      <c r="B78" s="134"/>
      <c r="C78" s="22"/>
      <c r="D78" s="23" t="s">
        <v>26</v>
      </c>
      <c r="E78" s="23"/>
      <c r="F78" s="16"/>
      <c r="G78" s="42">
        <v>9</v>
      </c>
      <c r="H78" s="36"/>
    </row>
    <row r="79" spans="1:8" ht="15.75" hidden="1">
      <c r="A79" s="24">
        <v>10</v>
      </c>
      <c r="B79" s="24" t="s">
        <v>27</v>
      </c>
      <c r="C79" s="10"/>
      <c r="D79" s="25" t="s">
        <v>28</v>
      </c>
      <c r="E79" s="25"/>
      <c r="F79" s="26" t="s">
        <v>30</v>
      </c>
      <c r="G79" s="16">
        <v>3</v>
      </c>
      <c r="H79" s="16">
        <v>1692</v>
      </c>
    </row>
    <row r="80" spans="1:8" ht="12.75" customHeight="1" hidden="1">
      <c r="A80" s="134" t="s">
        <v>56</v>
      </c>
      <c r="B80" s="134"/>
      <c r="C80" s="22"/>
      <c r="D80" s="135" t="s">
        <v>32</v>
      </c>
      <c r="E80" s="135"/>
      <c r="F80" s="135"/>
      <c r="G80" s="21">
        <v>9</v>
      </c>
      <c r="H80" s="16"/>
    </row>
    <row r="81" spans="1:8" ht="25.5" hidden="1">
      <c r="A81" s="24">
        <v>96</v>
      </c>
      <c r="B81" s="24" t="s">
        <v>168</v>
      </c>
      <c r="C81" s="10"/>
      <c r="D81" s="25" t="s">
        <v>169</v>
      </c>
      <c r="E81" s="25"/>
      <c r="F81" s="26" t="s">
        <v>170</v>
      </c>
      <c r="G81" s="16">
        <v>3</v>
      </c>
      <c r="H81" s="16">
        <v>1474</v>
      </c>
    </row>
    <row r="82" spans="1:8" ht="25.5" hidden="1">
      <c r="A82" s="24">
        <v>98</v>
      </c>
      <c r="B82" s="24" t="s">
        <v>36</v>
      </c>
      <c r="C82" s="10"/>
      <c r="D82" s="25" t="s">
        <v>37</v>
      </c>
      <c r="E82" s="25"/>
      <c r="F82" s="26" t="s">
        <v>35</v>
      </c>
      <c r="G82" s="16">
        <v>3</v>
      </c>
      <c r="H82" s="16">
        <v>1198</v>
      </c>
    </row>
    <row r="83" spans="1:8" ht="15.75" hidden="1">
      <c r="A83" s="24">
        <v>99</v>
      </c>
      <c r="B83" s="24" t="s">
        <v>171</v>
      </c>
      <c r="C83" s="10"/>
      <c r="D83" s="25" t="s">
        <v>172</v>
      </c>
      <c r="E83" s="25"/>
      <c r="F83" s="26" t="s">
        <v>74</v>
      </c>
      <c r="G83" s="16">
        <v>3</v>
      </c>
      <c r="H83" s="16">
        <v>842</v>
      </c>
    </row>
    <row r="84" spans="1:8" ht="25.5" hidden="1">
      <c r="A84" s="24">
        <v>100</v>
      </c>
      <c r="B84" s="24" t="s">
        <v>38</v>
      </c>
      <c r="C84" s="10"/>
      <c r="D84" s="25" t="s">
        <v>39</v>
      </c>
      <c r="E84" s="25"/>
      <c r="F84" s="26" t="s">
        <v>40</v>
      </c>
      <c r="G84" s="16">
        <v>0.03</v>
      </c>
      <c r="H84" s="16">
        <v>156</v>
      </c>
    </row>
    <row r="85" spans="1:8" ht="15.75" hidden="1">
      <c r="A85" s="24">
        <v>104</v>
      </c>
      <c r="B85" s="24" t="s">
        <v>173</v>
      </c>
      <c r="C85" s="10"/>
      <c r="D85" s="25" t="s">
        <v>174</v>
      </c>
      <c r="E85" s="25"/>
      <c r="F85" s="26" t="s">
        <v>175</v>
      </c>
      <c r="G85" s="16">
        <v>0.1</v>
      </c>
      <c r="H85" s="16">
        <v>135</v>
      </c>
    </row>
    <row r="86" spans="1:8" ht="15.75" hidden="1">
      <c r="A86" s="24">
        <v>105</v>
      </c>
      <c r="B86" s="24" t="s">
        <v>176</v>
      </c>
      <c r="C86" s="10"/>
      <c r="D86" s="25" t="s">
        <v>177</v>
      </c>
      <c r="E86" s="25"/>
      <c r="F86" s="26" t="s">
        <v>178</v>
      </c>
      <c r="G86" s="16">
        <v>1</v>
      </c>
      <c r="H86" s="16">
        <v>259</v>
      </c>
    </row>
    <row r="87" spans="1:8" ht="15.75" hidden="1">
      <c r="A87" s="24">
        <v>109</v>
      </c>
      <c r="B87" s="24" t="s">
        <v>179</v>
      </c>
      <c r="C87" s="10"/>
      <c r="D87" s="25" t="s">
        <v>180</v>
      </c>
      <c r="E87" s="25"/>
      <c r="F87" s="26" t="s">
        <v>111</v>
      </c>
      <c r="G87" s="16">
        <v>1</v>
      </c>
      <c r="H87" s="16">
        <v>138</v>
      </c>
    </row>
    <row r="88" spans="1:8" ht="15.75" hidden="1">
      <c r="A88" s="24">
        <v>112</v>
      </c>
      <c r="B88" s="24" t="s">
        <v>181</v>
      </c>
      <c r="C88" s="10"/>
      <c r="D88" s="25" t="s">
        <v>182</v>
      </c>
      <c r="E88" s="25"/>
      <c r="F88" s="26" t="s">
        <v>183</v>
      </c>
      <c r="G88" s="16">
        <v>1</v>
      </c>
      <c r="H88" s="16">
        <v>163</v>
      </c>
    </row>
    <row r="89" spans="1:8" ht="15.75" hidden="1">
      <c r="A89" s="24">
        <v>113</v>
      </c>
      <c r="B89" s="24" t="s">
        <v>184</v>
      </c>
      <c r="C89" s="10"/>
      <c r="D89" s="25" t="s">
        <v>185</v>
      </c>
      <c r="E89" s="25"/>
      <c r="F89" s="26" t="s">
        <v>111</v>
      </c>
      <c r="G89" s="16">
        <v>1</v>
      </c>
      <c r="H89" s="16">
        <v>53</v>
      </c>
    </row>
    <row r="90" spans="1:8" ht="15.75" hidden="1">
      <c r="A90" s="24">
        <v>117</v>
      </c>
      <c r="B90" s="24" t="s">
        <v>186</v>
      </c>
      <c r="C90" s="10"/>
      <c r="D90" s="25" t="s">
        <v>187</v>
      </c>
      <c r="E90" s="25"/>
      <c r="F90" s="26" t="s">
        <v>175</v>
      </c>
      <c r="G90" s="16">
        <v>0.1</v>
      </c>
      <c r="H90" s="16">
        <v>59</v>
      </c>
    </row>
    <row r="91" spans="1:8" ht="15.75" hidden="1">
      <c r="A91" s="24">
        <v>118</v>
      </c>
      <c r="B91" s="24" t="s">
        <v>188</v>
      </c>
      <c r="C91" s="10"/>
      <c r="D91" s="25" t="s">
        <v>189</v>
      </c>
      <c r="E91" s="25"/>
      <c r="F91" s="26" t="s">
        <v>175</v>
      </c>
      <c r="G91" s="16">
        <v>0.1</v>
      </c>
      <c r="H91" s="16">
        <v>62</v>
      </c>
    </row>
    <row r="92" spans="1:8" ht="25.5" hidden="1">
      <c r="A92" s="24">
        <v>137</v>
      </c>
      <c r="B92" s="24" t="s">
        <v>190</v>
      </c>
      <c r="C92" s="10"/>
      <c r="D92" s="25" t="s">
        <v>191</v>
      </c>
      <c r="E92" s="25"/>
      <c r="F92" s="26" t="s">
        <v>111</v>
      </c>
      <c r="G92" s="16">
        <v>9</v>
      </c>
      <c r="H92" s="16">
        <v>624</v>
      </c>
    </row>
    <row r="93" spans="1:8" ht="12.75" customHeight="1" hidden="1">
      <c r="A93" s="134" t="s">
        <v>126</v>
      </c>
      <c r="B93" s="134"/>
      <c r="C93" s="22"/>
      <c r="D93" s="135" t="s">
        <v>47</v>
      </c>
      <c r="E93" s="135"/>
      <c r="F93" s="135"/>
      <c r="G93" s="21">
        <v>9</v>
      </c>
      <c r="H93" s="16"/>
    </row>
    <row r="94" spans="1:8" ht="25.5" hidden="1">
      <c r="A94" s="24">
        <v>189</v>
      </c>
      <c r="B94" s="24" t="s">
        <v>48</v>
      </c>
      <c r="C94" s="10"/>
      <c r="D94" s="25" t="s">
        <v>49</v>
      </c>
      <c r="E94" s="25"/>
      <c r="F94" s="26" t="s">
        <v>40</v>
      </c>
      <c r="G94" s="16">
        <v>1.6</v>
      </c>
      <c r="H94" s="16">
        <v>4416</v>
      </c>
    </row>
    <row r="95" spans="1:8" ht="12.75" customHeight="1" hidden="1">
      <c r="A95" s="134" t="s">
        <v>131</v>
      </c>
      <c r="B95" s="134"/>
      <c r="C95" s="22"/>
      <c r="D95" s="135" t="s">
        <v>192</v>
      </c>
      <c r="E95" s="135"/>
      <c r="F95" s="135"/>
      <c r="G95" s="21">
        <v>9</v>
      </c>
      <c r="H95" s="21"/>
    </row>
    <row r="96" spans="1:8" ht="12.75" customHeight="1" hidden="1">
      <c r="A96" s="24"/>
      <c r="B96" s="134" t="s">
        <v>193</v>
      </c>
      <c r="C96" s="134"/>
      <c r="D96" s="134"/>
      <c r="E96" s="134"/>
      <c r="F96" s="134"/>
      <c r="G96" s="21">
        <v>9</v>
      </c>
      <c r="H96" s="16"/>
    </row>
    <row r="97" spans="1:8" ht="12.75" customHeight="1" hidden="1">
      <c r="A97" s="134" t="s">
        <v>25</v>
      </c>
      <c r="B97" s="134"/>
      <c r="C97" s="22"/>
      <c r="D97" s="135" t="s">
        <v>194</v>
      </c>
      <c r="E97" s="135"/>
      <c r="F97" s="135"/>
      <c r="G97" s="21">
        <v>9</v>
      </c>
      <c r="H97" s="16"/>
    </row>
    <row r="98" spans="1:8" ht="38.25" hidden="1">
      <c r="A98" s="24">
        <v>299</v>
      </c>
      <c r="B98" s="24" t="s">
        <v>195</v>
      </c>
      <c r="C98" s="10"/>
      <c r="D98" s="29" t="s">
        <v>196</v>
      </c>
      <c r="E98" s="29"/>
      <c r="F98" s="26" t="s">
        <v>40</v>
      </c>
      <c r="G98" s="16">
        <v>1.2</v>
      </c>
      <c r="H98" s="16">
        <v>4446</v>
      </c>
    </row>
    <row r="99" spans="1:8" ht="15.75" hidden="1">
      <c r="A99" s="24">
        <v>301</v>
      </c>
      <c r="B99" s="24" t="s">
        <v>197</v>
      </c>
      <c r="C99" s="10"/>
      <c r="D99" s="29" t="s">
        <v>198</v>
      </c>
      <c r="E99" s="29"/>
      <c r="F99" s="26" t="s">
        <v>40</v>
      </c>
      <c r="G99" s="16">
        <v>1.2</v>
      </c>
      <c r="H99" s="16">
        <v>1224</v>
      </c>
    </row>
    <row r="100" spans="1:8" ht="12.75" customHeight="1" hidden="1">
      <c r="A100" s="134" t="s">
        <v>31</v>
      </c>
      <c r="B100" s="134"/>
      <c r="C100" s="22"/>
      <c r="D100" s="135" t="s">
        <v>199</v>
      </c>
      <c r="E100" s="135"/>
      <c r="F100" s="135"/>
      <c r="G100" s="21">
        <v>9</v>
      </c>
      <c r="H100" s="16"/>
    </row>
    <row r="101" spans="1:8" ht="25.5" hidden="1">
      <c r="A101" s="24">
        <v>332</v>
      </c>
      <c r="B101" s="24" t="s">
        <v>200</v>
      </c>
      <c r="C101" s="10"/>
      <c r="D101" s="29" t="s">
        <v>201</v>
      </c>
      <c r="E101" s="29"/>
      <c r="F101" s="26" t="s">
        <v>40</v>
      </c>
      <c r="G101" s="16">
        <v>15.78</v>
      </c>
      <c r="H101" s="16">
        <v>4598</v>
      </c>
    </row>
    <row r="102" spans="1:8" ht="38.25" hidden="1">
      <c r="A102" s="24">
        <v>383</v>
      </c>
      <c r="B102" s="24" t="s">
        <v>202</v>
      </c>
      <c r="C102" s="10"/>
      <c r="D102" s="25" t="s">
        <v>203</v>
      </c>
      <c r="E102" s="25"/>
      <c r="F102" s="26" t="s">
        <v>40</v>
      </c>
      <c r="G102" s="16">
        <v>34.032</v>
      </c>
      <c r="H102" s="16">
        <v>31678</v>
      </c>
    </row>
    <row r="103" spans="1:8" ht="38.25" hidden="1">
      <c r="A103" s="24">
        <v>389</v>
      </c>
      <c r="B103" s="24" t="s">
        <v>204</v>
      </c>
      <c r="C103" s="10"/>
      <c r="D103" s="25" t="s">
        <v>205</v>
      </c>
      <c r="E103" s="25"/>
      <c r="F103" s="26" t="s">
        <v>40</v>
      </c>
      <c r="G103" s="16">
        <v>6.12</v>
      </c>
      <c r="H103" s="16">
        <v>7449</v>
      </c>
    </row>
    <row r="104" spans="1:8" ht="38.25" hidden="1">
      <c r="A104" s="24">
        <v>397</v>
      </c>
      <c r="B104" s="24" t="s">
        <v>206</v>
      </c>
      <c r="C104" s="10"/>
      <c r="D104" s="29" t="s">
        <v>207</v>
      </c>
      <c r="E104" s="29"/>
      <c r="F104" s="26" t="s">
        <v>40</v>
      </c>
      <c r="G104" s="16">
        <v>2.772</v>
      </c>
      <c r="H104" s="16">
        <v>6232</v>
      </c>
    </row>
    <row r="105" spans="1:8" ht="38.25" hidden="1">
      <c r="A105" s="24">
        <v>401</v>
      </c>
      <c r="B105" s="24" t="s">
        <v>208</v>
      </c>
      <c r="C105" s="10"/>
      <c r="D105" s="25" t="s">
        <v>209</v>
      </c>
      <c r="E105" s="25"/>
      <c r="F105" s="26" t="s">
        <v>40</v>
      </c>
      <c r="G105" s="16">
        <v>5.832</v>
      </c>
      <c r="H105" s="16">
        <v>7015</v>
      </c>
    </row>
    <row r="106" spans="1:8" ht="38.25" hidden="1">
      <c r="A106" s="24">
        <v>409</v>
      </c>
      <c r="B106" s="24" t="s">
        <v>210</v>
      </c>
      <c r="C106" s="10"/>
      <c r="D106" s="29" t="s">
        <v>211</v>
      </c>
      <c r="E106" s="29"/>
      <c r="F106" s="26" t="s">
        <v>40</v>
      </c>
      <c r="G106" s="16">
        <v>17.088</v>
      </c>
      <c r="H106" s="16">
        <v>18019</v>
      </c>
    </row>
    <row r="107" spans="1:8" ht="38.25" hidden="1">
      <c r="A107" s="24">
        <v>413</v>
      </c>
      <c r="B107" s="24" t="s">
        <v>212</v>
      </c>
      <c r="C107" s="10"/>
      <c r="D107" s="25" t="s">
        <v>213</v>
      </c>
      <c r="E107" s="25"/>
      <c r="F107" s="26" t="s">
        <v>40</v>
      </c>
      <c r="G107" s="16">
        <v>22.59</v>
      </c>
      <c r="H107" s="16">
        <v>16237</v>
      </c>
    </row>
    <row r="108" spans="1:8" ht="51" hidden="1">
      <c r="A108" s="24">
        <v>455</v>
      </c>
      <c r="B108" s="24" t="s">
        <v>214</v>
      </c>
      <c r="C108" s="10"/>
      <c r="D108" s="25" t="s">
        <v>215</v>
      </c>
      <c r="E108" s="25"/>
      <c r="F108" s="26" t="s">
        <v>40</v>
      </c>
      <c r="G108" s="16">
        <v>1.38</v>
      </c>
      <c r="H108" s="16">
        <v>1559</v>
      </c>
    </row>
    <row r="109" spans="1:8" ht="25.5" hidden="1">
      <c r="A109" s="24">
        <v>461</v>
      </c>
      <c r="B109" s="24" t="s">
        <v>216</v>
      </c>
      <c r="C109" s="10"/>
      <c r="D109" s="29" t="s">
        <v>217</v>
      </c>
      <c r="E109" s="29"/>
      <c r="F109" s="26" t="s">
        <v>40</v>
      </c>
      <c r="G109" s="16">
        <v>14.24</v>
      </c>
      <c r="H109" s="16">
        <v>1006</v>
      </c>
    </row>
    <row r="110" spans="1:8" ht="25.5" hidden="1">
      <c r="A110" s="24">
        <v>463</v>
      </c>
      <c r="B110" s="24" t="s">
        <v>218</v>
      </c>
      <c r="C110" s="10"/>
      <c r="D110" s="25" t="s">
        <v>219</v>
      </c>
      <c r="E110" s="25"/>
      <c r="F110" s="26" t="s">
        <v>40</v>
      </c>
      <c r="G110" s="16">
        <v>3.55</v>
      </c>
      <c r="H110" s="16">
        <v>459</v>
      </c>
    </row>
    <row r="111" spans="1:8" ht="25.5" hidden="1">
      <c r="A111" s="24">
        <v>480</v>
      </c>
      <c r="B111" s="24" t="s">
        <v>220</v>
      </c>
      <c r="C111" s="10"/>
      <c r="D111" s="29" t="s">
        <v>221</v>
      </c>
      <c r="E111" s="29"/>
      <c r="F111" s="26" t="s">
        <v>40</v>
      </c>
      <c r="G111" s="16">
        <v>3</v>
      </c>
      <c r="H111" s="16">
        <v>5579</v>
      </c>
    </row>
    <row r="112" spans="1:8" ht="25.5" hidden="1">
      <c r="A112" s="31"/>
      <c r="B112" s="32" t="s">
        <v>222</v>
      </c>
      <c r="C112" s="33"/>
      <c r="D112" s="34" t="s">
        <v>223</v>
      </c>
      <c r="E112" s="34"/>
      <c r="F112" s="33" t="s">
        <v>52</v>
      </c>
      <c r="G112" s="33">
        <v>0.2322</v>
      </c>
      <c r="H112" s="33">
        <v>5007</v>
      </c>
    </row>
    <row r="113" spans="1:8" ht="15.75" hidden="1">
      <c r="A113" s="31"/>
      <c r="B113" s="32" t="s">
        <v>224</v>
      </c>
      <c r="C113" s="33"/>
      <c r="D113" s="34" t="s">
        <v>225</v>
      </c>
      <c r="E113" s="34"/>
      <c r="F113" s="33" t="s">
        <v>52</v>
      </c>
      <c r="G113" s="33">
        <v>0.06</v>
      </c>
      <c r="H113" s="33">
        <v>443</v>
      </c>
    </row>
    <row r="114" spans="1:8" ht="12.75" customHeight="1" hidden="1">
      <c r="A114" s="134" t="s">
        <v>55</v>
      </c>
      <c r="B114" s="134"/>
      <c r="C114" s="134"/>
      <c r="D114" s="134"/>
      <c r="E114" s="134"/>
      <c r="F114" s="134"/>
      <c r="G114" s="21">
        <v>9</v>
      </c>
      <c r="H114" s="16"/>
    </row>
    <row r="115" spans="1:8" ht="12.75" customHeight="1" hidden="1">
      <c r="A115" s="134" t="s">
        <v>25</v>
      </c>
      <c r="B115" s="134"/>
      <c r="C115" s="22"/>
      <c r="D115" s="135" t="s">
        <v>57</v>
      </c>
      <c r="E115" s="135"/>
      <c r="F115" s="135"/>
      <c r="G115" s="21">
        <v>9</v>
      </c>
      <c r="H115" s="16"/>
    </row>
    <row r="116" spans="1:8" ht="38.25" hidden="1">
      <c r="A116" s="24">
        <v>577</v>
      </c>
      <c r="B116" s="24" t="s">
        <v>86</v>
      </c>
      <c r="C116" s="10"/>
      <c r="D116" s="29" t="s">
        <v>87</v>
      </c>
      <c r="E116" s="29"/>
      <c r="F116" s="26" t="s">
        <v>88</v>
      </c>
      <c r="G116" s="16">
        <v>1</v>
      </c>
      <c r="H116" s="16">
        <v>3464</v>
      </c>
    </row>
    <row r="117" spans="1:8" ht="15.75" hidden="1">
      <c r="A117" s="24">
        <v>587</v>
      </c>
      <c r="B117" s="24" t="s">
        <v>89</v>
      </c>
      <c r="C117" s="10"/>
      <c r="D117" s="29" t="s">
        <v>90</v>
      </c>
      <c r="E117" s="29"/>
      <c r="F117" s="26" t="s">
        <v>74</v>
      </c>
      <c r="G117" s="16">
        <v>12</v>
      </c>
      <c r="H117" s="16">
        <v>424</v>
      </c>
    </row>
    <row r="118" spans="1:8" ht="25.5" hidden="1">
      <c r="A118" s="24">
        <v>588</v>
      </c>
      <c r="B118" s="24" t="s">
        <v>91</v>
      </c>
      <c r="C118" s="10"/>
      <c r="D118" s="29" t="s">
        <v>92</v>
      </c>
      <c r="E118" s="29"/>
      <c r="F118" s="26" t="s">
        <v>74</v>
      </c>
      <c r="G118" s="16">
        <v>12</v>
      </c>
      <c r="H118" s="16">
        <v>1236</v>
      </c>
    </row>
    <row r="119" spans="1:8" ht="12.75" customHeight="1" hidden="1">
      <c r="A119" s="134" t="s">
        <v>31</v>
      </c>
      <c r="B119" s="134"/>
      <c r="C119" s="22"/>
      <c r="D119" s="135" t="s">
        <v>98</v>
      </c>
      <c r="E119" s="135"/>
      <c r="F119" s="135"/>
      <c r="G119" s="21">
        <v>9</v>
      </c>
      <c r="H119" s="16"/>
    </row>
    <row r="120" spans="1:8" ht="25.5" hidden="1">
      <c r="A120" s="24">
        <v>620</v>
      </c>
      <c r="B120" s="24" t="s">
        <v>226</v>
      </c>
      <c r="C120" s="10"/>
      <c r="D120" s="29" t="s">
        <v>227</v>
      </c>
      <c r="E120" s="29"/>
      <c r="F120" s="26" t="s">
        <v>74</v>
      </c>
      <c r="G120" s="16">
        <v>2</v>
      </c>
      <c r="H120" s="16">
        <v>709</v>
      </c>
    </row>
    <row r="121" spans="1:8" ht="15.75" hidden="1">
      <c r="A121" s="24">
        <v>664</v>
      </c>
      <c r="B121" s="24" t="s">
        <v>228</v>
      </c>
      <c r="C121" s="10"/>
      <c r="D121" s="29" t="s">
        <v>229</v>
      </c>
      <c r="E121" s="29"/>
      <c r="F121" s="26" t="s">
        <v>74</v>
      </c>
      <c r="G121" s="16">
        <v>3</v>
      </c>
      <c r="H121" s="16">
        <v>345</v>
      </c>
    </row>
    <row r="122" spans="1:8" ht="38.25" hidden="1">
      <c r="A122" s="24">
        <v>671</v>
      </c>
      <c r="B122" s="24" t="s">
        <v>230</v>
      </c>
      <c r="C122" s="10"/>
      <c r="D122" s="29" t="s">
        <v>231</v>
      </c>
      <c r="E122" s="29"/>
      <c r="F122" s="26" t="s">
        <v>61</v>
      </c>
      <c r="G122" s="16">
        <v>1</v>
      </c>
      <c r="H122" s="16">
        <v>1308</v>
      </c>
    </row>
    <row r="123" spans="1:8" ht="38.25" hidden="1">
      <c r="A123" s="24">
        <v>672</v>
      </c>
      <c r="B123" s="24" t="s">
        <v>232</v>
      </c>
      <c r="C123" s="10"/>
      <c r="D123" s="29" t="s">
        <v>233</v>
      </c>
      <c r="E123" s="29"/>
      <c r="F123" s="26" t="s">
        <v>61</v>
      </c>
      <c r="G123" s="16">
        <v>1</v>
      </c>
      <c r="H123" s="16">
        <v>1597</v>
      </c>
    </row>
    <row r="124" spans="1:8" ht="25.5" hidden="1">
      <c r="A124" s="24">
        <v>678</v>
      </c>
      <c r="B124" s="24" t="s">
        <v>234</v>
      </c>
      <c r="C124" s="10"/>
      <c r="D124" s="29" t="s">
        <v>235</v>
      </c>
      <c r="E124" s="29"/>
      <c r="F124" s="26" t="s">
        <v>61</v>
      </c>
      <c r="G124" s="16">
        <v>1</v>
      </c>
      <c r="H124" s="16">
        <v>452</v>
      </c>
    </row>
    <row r="125" spans="1:8" ht="25.5" hidden="1">
      <c r="A125" s="24">
        <v>679</v>
      </c>
      <c r="B125" s="24" t="s">
        <v>236</v>
      </c>
      <c r="C125" s="10"/>
      <c r="D125" s="29" t="s">
        <v>237</v>
      </c>
      <c r="E125" s="29"/>
      <c r="F125" s="26" t="s">
        <v>61</v>
      </c>
      <c r="G125" s="16">
        <v>1</v>
      </c>
      <c r="H125" s="16">
        <v>495</v>
      </c>
    </row>
    <row r="126" spans="1:8" ht="15.75" hidden="1">
      <c r="A126" s="24">
        <v>685</v>
      </c>
      <c r="B126" s="24" t="s">
        <v>99</v>
      </c>
      <c r="C126" s="10"/>
      <c r="D126" s="29" t="s">
        <v>100</v>
      </c>
      <c r="E126" s="29"/>
      <c r="F126" s="26" t="s">
        <v>61</v>
      </c>
      <c r="G126" s="16">
        <v>15</v>
      </c>
      <c r="H126" s="16">
        <v>737</v>
      </c>
    </row>
    <row r="127" spans="1:8" ht="15.75" hidden="1">
      <c r="A127" s="24">
        <v>689</v>
      </c>
      <c r="B127" s="24" t="s">
        <v>238</v>
      </c>
      <c r="C127" s="10"/>
      <c r="D127" s="29" t="s">
        <v>239</v>
      </c>
      <c r="E127" s="29"/>
      <c r="F127" s="26" t="s">
        <v>240</v>
      </c>
      <c r="G127" s="16">
        <v>2</v>
      </c>
      <c r="H127" s="16">
        <v>168</v>
      </c>
    </row>
    <row r="128" spans="1:8" ht="15.75" hidden="1">
      <c r="A128" s="24">
        <v>690</v>
      </c>
      <c r="B128" s="24" t="s">
        <v>241</v>
      </c>
      <c r="C128" s="10"/>
      <c r="D128" s="29" t="s">
        <v>242</v>
      </c>
      <c r="E128" s="29"/>
      <c r="F128" s="26" t="s">
        <v>240</v>
      </c>
      <c r="G128" s="16">
        <v>2</v>
      </c>
      <c r="H128" s="16">
        <v>138</v>
      </c>
    </row>
    <row r="129" spans="1:8" ht="15.75" hidden="1">
      <c r="A129" s="24">
        <v>693</v>
      </c>
      <c r="B129" s="24" t="s">
        <v>243</v>
      </c>
      <c r="C129" s="10"/>
      <c r="D129" s="29" t="s">
        <v>244</v>
      </c>
      <c r="E129" s="29"/>
      <c r="F129" s="26" t="s">
        <v>245</v>
      </c>
      <c r="G129" s="16">
        <v>1</v>
      </c>
      <c r="H129" s="16">
        <v>396</v>
      </c>
    </row>
    <row r="130" spans="1:8" ht="12.75" customHeight="1" hidden="1">
      <c r="A130" s="134" t="s">
        <v>101</v>
      </c>
      <c r="B130" s="134"/>
      <c r="C130" s="22"/>
      <c r="D130" s="135" t="s">
        <v>102</v>
      </c>
      <c r="E130" s="135"/>
      <c r="F130" s="135"/>
      <c r="G130" s="21">
        <v>9</v>
      </c>
      <c r="H130" s="16"/>
    </row>
    <row r="131" spans="1:8" ht="15.75" hidden="1">
      <c r="A131" s="24">
        <v>712</v>
      </c>
      <c r="B131" s="24" t="s">
        <v>103</v>
      </c>
      <c r="C131" s="10"/>
      <c r="D131" s="25" t="s">
        <v>104</v>
      </c>
      <c r="E131" s="25"/>
      <c r="F131" s="26" t="s">
        <v>105</v>
      </c>
      <c r="G131" s="16">
        <v>0.6</v>
      </c>
      <c r="H131" s="16">
        <v>155</v>
      </c>
    </row>
    <row r="132" spans="1:8" ht="25.5" hidden="1">
      <c r="A132" s="24">
        <v>723</v>
      </c>
      <c r="B132" s="24" t="s">
        <v>246</v>
      </c>
      <c r="C132" s="10"/>
      <c r="D132" s="25" t="s">
        <v>247</v>
      </c>
      <c r="E132" s="25"/>
      <c r="F132" s="26" t="s">
        <v>111</v>
      </c>
      <c r="G132" s="16">
        <v>7</v>
      </c>
      <c r="H132" s="16">
        <v>206</v>
      </c>
    </row>
    <row r="133" spans="1:8" ht="15.75" hidden="1">
      <c r="A133" s="24">
        <v>726</v>
      </c>
      <c r="B133" s="24" t="s">
        <v>106</v>
      </c>
      <c r="C133" s="10"/>
      <c r="D133" s="25" t="s">
        <v>107</v>
      </c>
      <c r="E133" s="25"/>
      <c r="F133" s="26" t="s">
        <v>108</v>
      </c>
      <c r="G133" s="16">
        <v>7.5</v>
      </c>
      <c r="H133" s="16">
        <v>400</v>
      </c>
    </row>
    <row r="134" spans="1:8" ht="15.75" hidden="1">
      <c r="A134" s="24">
        <v>730</v>
      </c>
      <c r="B134" s="24" t="s">
        <v>109</v>
      </c>
      <c r="C134" s="10"/>
      <c r="D134" s="25" t="s">
        <v>110</v>
      </c>
      <c r="E134" s="25"/>
      <c r="F134" s="26" t="s">
        <v>111</v>
      </c>
      <c r="G134" s="16">
        <v>1</v>
      </c>
      <c r="H134" s="16">
        <v>19</v>
      </c>
    </row>
    <row r="135" spans="1:8" ht="15.75" hidden="1">
      <c r="A135" s="24">
        <v>753</v>
      </c>
      <c r="B135" s="24" t="s">
        <v>248</v>
      </c>
      <c r="C135" s="10"/>
      <c r="D135" s="25" t="s">
        <v>249</v>
      </c>
      <c r="E135" s="25"/>
      <c r="F135" s="26" t="s">
        <v>111</v>
      </c>
      <c r="G135" s="16">
        <v>3</v>
      </c>
      <c r="H135" s="16">
        <v>201</v>
      </c>
    </row>
    <row r="136" spans="1:8" ht="12.75" customHeight="1" hidden="1">
      <c r="A136" s="134"/>
      <c r="B136" s="134"/>
      <c r="C136" s="22"/>
      <c r="D136" s="135" t="s">
        <v>113</v>
      </c>
      <c r="E136" s="135"/>
      <c r="F136" s="135"/>
      <c r="G136" s="21">
        <v>9</v>
      </c>
      <c r="H136" s="16"/>
    </row>
    <row r="137" spans="1:8" ht="12.75" customHeight="1" hidden="1">
      <c r="A137" s="134" t="s">
        <v>25</v>
      </c>
      <c r="B137" s="134"/>
      <c r="C137" s="22"/>
      <c r="D137" s="135" t="s">
        <v>113</v>
      </c>
      <c r="E137" s="135"/>
      <c r="F137" s="135"/>
      <c r="G137" s="21">
        <v>9</v>
      </c>
      <c r="H137" s="16"/>
    </row>
    <row r="138" spans="1:8" ht="15.75" hidden="1">
      <c r="A138" s="24">
        <v>756</v>
      </c>
      <c r="B138" s="24" t="s">
        <v>250</v>
      </c>
      <c r="C138" s="10"/>
      <c r="D138" s="25" t="s">
        <v>251</v>
      </c>
      <c r="E138" s="25"/>
      <c r="F138" s="26" t="s">
        <v>252</v>
      </c>
      <c r="G138" s="16">
        <v>18.72</v>
      </c>
      <c r="H138" s="16">
        <v>632</v>
      </c>
    </row>
    <row r="139" spans="1:8" ht="15.75" hidden="1">
      <c r="A139" s="24">
        <v>757</v>
      </c>
      <c r="B139" s="24" t="s">
        <v>253</v>
      </c>
      <c r="C139" s="10"/>
      <c r="D139" s="25" t="s">
        <v>254</v>
      </c>
      <c r="E139" s="25"/>
      <c r="F139" s="26" t="s">
        <v>252</v>
      </c>
      <c r="G139" s="16">
        <v>18.72</v>
      </c>
      <c r="H139" s="16">
        <v>5531</v>
      </c>
    </row>
    <row r="140" spans="1:8" ht="15.75" hidden="1">
      <c r="A140" s="24">
        <v>758</v>
      </c>
      <c r="B140" s="24" t="s">
        <v>255</v>
      </c>
      <c r="C140" s="10"/>
      <c r="D140" s="25" t="s">
        <v>256</v>
      </c>
      <c r="E140" s="25"/>
      <c r="F140" s="26" t="s">
        <v>142</v>
      </c>
      <c r="G140" s="16">
        <v>0.5594</v>
      </c>
      <c r="H140" s="16">
        <v>1126</v>
      </c>
    </row>
    <row r="141" spans="1:8" ht="15.75" hidden="1">
      <c r="A141" s="24">
        <v>759</v>
      </c>
      <c r="B141" s="24" t="s">
        <v>257</v>
      </c>
      <c r="C141" s="10"/>
      <c r="D141" s="25" t="s">
        <v>258</v>
      </c>
      <c r="E141" s="25"/>
      <c r="F141" s="26" t="s">
        <v>252</v>
      </c>
      <c r="G141" s="16">
        <v>18.72</v>
      </c>
      <c r="H141" s="16">
        <v>922</v>
      </c>
    </row>
    <row r="142" spans="1:8" ht="15.75" hidden="1">
      <c r="A142" s="24">
        <v>760</v>
      </c>
      <c r="B142" s="24" t="s">
        <v>259</v>
      </c>
      <c r="C142" s="10"/>
      <c r="D142" s="25" t="s">
        <v>260</v>
      </c>
      <c r="E142" s="25"/>
      <c r="F142" s="26" t="s">
        <v>142</v>
      </c>
      <c r="G142" s="16">
        <v>0.5594</v>
      </c>
      <c r="H142" s="16">
        <v>150</v>
      </c>
    </row>
    <row r="143" spans="1:8" ht="15.75" hidden="1">
      <c r="A143" s="24">
        <v>761</v>
      </c>
      <c r="B143" s="24" t="s">
        <v>261</v>
      </c>
      <c r="C143" s="10"/>
      <c r="D143" s="25" t="s">
        <v>262</v>
      </c>
      <c r="E143" s="25"/>
      <c r="F143" s="26" t="s">
        <v>142</v>
      </c>
      <c r="G143" s="16">
        <v>0.5594</v>
      </c>
      <c r="H143" s="16">
        <v>179</v>
      </c>
    </row>
    <row r="144" spans="1:8" ht="15.75" hidden="1">
      <c r="A144" s="24">
        <v>762</v>
      </c>
      <c r="B144" s="24" t="s">
        <v>263</v>
      </c>
      <c r="C144" s="10"/>
      <c r="D144" s="25" t="s">
        <v>264</v>
      </c>
      <c r="E144" s="25"/>
      <c r="F144" s="26" t="s">
        <v>142</v>
      </c>
      <c r="G144" s="16">
        <v>0.5594</v>
      </c>
      <c r="H144" s="16">
        <v>150</v>
      </c>
    </row>
    <row r="145" spans="1:8" ht="25.5" hidden="1">
      <c r="A145" s="24">
        <v>765</v>
      </c>
      <c r="B145" s="24" t="s">
        <v>114</v>
      </c>
      <c r="C145" s="10"/>
      <c r="D145" s="25" t="s">
        <v>115</v>
      </c>
      <c r="E145" s="25"/>
      <c r="F145" s="26" t="s">
        <v>117</v>
      </c>
      <c r="G145" s="16">
        <v>0.06</v>
      </c>
      <c r="H145" s="16">
        <v>76</v>
      </c>
    </row>
    <row r="146" spans="1:8" ht="15.75" hidden="1">
      <c r="A146" s="24">
        <v>767</v>
      </c>
      <c r="B146" s="24" t="s">
        <v>118</v>
      </c>
      <c r="C146" s="10"/>
      <c r="D146" s="25" t="s">
        <v>119</v>
      </c>
      <c r="E146" s="25"/>
      <c r="F146" s="26" t="s">
        <v>120</v>
      </c>
      <c r="G146" s="16">
        <v>0.03</v>
      </c>
      <c r="H146" s="16">
        <v>79</v>
      </c>
    </row>
    <row r="147" spans="1:8" ht="15.75" hidden="1">
      <c r="A147" s="24">
        <v>768</v>
      </c>
      <c r="B147" s="24" t="s">
        <v>121</v>
      </c>
      <c r="C147" s="10"/>
      <c r="D147" s="25" t="s">
        <v>265</v>
      </c>
      <c r="E147" s="25"/>
      <c r="F147" s="26" t="s">
        <v>124</v>
      </c>
      <c r="G147" s="16">
        <v>0.12</v>
      </c>
      <c r="H147" s="16">
        <v>1013</v>
      </c>
    </row>
    <row r="148" spans="1:8" ht="12.75" customHeight="1" hidden="1">
      <c r="A148" s="134" t="s">
        <v>125</v>
      </c>
      <c r="B148" s="134"/>
      <c r="C148" s="134"/>
      <c r="D148" s="134"/>
      <c r="E148" s="134"/>
      <c r="F148" s="134"/>
      <c r="G148" s="21">
        <v>9</v>
      </c>
      <c r="H148" s="16"/>
    </row>
    <row r="149" spans="1:8" ht="12.75" customHeight="1" hidden="1">
      <c r="A149" s="134" t="s">
        <v>25</v>
      </c>
      <c r="B149" s="134"/>
      <c r="C149" s="22"/>
      <c r="D149" s="135" t="s">
        <v>127</v>
      </c>
      <c r="E149" s="135"/>
      <c r="F149" s="135"/>
      <c r="G149" s="21">
        <v>9</v>
      </c>
      <c r="H149" s="16"/>
    </row>
    <row r="150" spans="1:8" ht="25.5" hidden="1">
      <c r="A150" s="24">
        <v>769</v>
      </c>
      <c r="B150" s="24" t="s">
        <v>128</v>
      </c>
      <c r="C150" s="10"/>
      <c r="D150" s="25" t="s">
        <v>129</v>
      </c>
      <c r="E150" s="25"/>
      <c r="F150" s="26" t="s">
        <v>52</v>
      </c>
      <c r="G150" s="16">
        <v>0.35</v>
      </c>
      <c r="H150" s="16">
        <v>28</v>
      </c>
    </row>
    <row r="151" spans="1:8" ht="25.5" hidden="1">
      <c r="A151" s="24">
        <v>777</v>
      </c>
      <c r="B151" s="24" t="s">
        <v>266</v>
      </c>
      <c r="C151" s="10"/>
      <c r="D151" s="29" t="s">
        <v>267</v>
      </c>
      <c r="E151" s="29"/>
      <c r="F151" s="26" t="s">
        <v>52</v>
      </c>
      <c r="G151" s="16">
        <v>0.36</v>
      </c>
      <c r="H151" s="16">
        <v>93</v>
      </c>
    </row>
    <row r="152" spans="1:8" ht="15.75" hidden="1">
      <c r="A152" s="24">
        <v>785</v>
      </c>
      <c r="B152" s="24" t="s">
        <v>268</v>
      </c>
      <c r="C152" s="10"/>
      <c r="D152" s="25" t="s">
        <v>269</v>
      </c>
      <c r="E152" s="25"/>
      <c r="F152" s="26" t="s">
        <v>52</v>
      </c>
      <c r="G152" s="16">
        <v>2.16</v>
      </c>
      <c r="H152" s="16">
        <v>213</v>
      </c>
    </row>
    <row r="153" spans="1:8" ht="15.75" hidden="1">
      <c r="A153" s="24">
        <v>786</v>
      </c>
      <c r="B153" s="24" t="s">
        <v>270</v>
      </c>
      <c r="C153" s="10"/>
      <c r="D153" s="29" t="s">
        <v>271</v>
      </c>
      <c r="E153" s="29"/>
      <c r="F153" s="26" t="s">
        <v>52</v>
      </c>
      <c r="G153" s="16">
        <v>1.424</v>
      </c>
      <c r="H153" s="16">
        <v>176</v>
      </c>
    </row>
    <row r="154" spans="1:8" ht="15.75" hidden="1">
      <c r="A154" s="24">
        <v>788</v>
      </c>
      <c r="B154" s="24" t="s">
        <v>272</v>
      </c>
      <c r="C154" s="10"/>
      <c r="D154" s="25" t="s">
        <v>273</v>
      </c>
      <c r="E154" s="25"/>
      <c r="F154" s="26" t="s">
        <v>52</v>
      </c>
      <c r="G154" s="16">
        <v>0.06</v>
      </c>
      <c r="H154" s="16">
        <v>11</v>
      </c>
    </row>
    <row r="155" spans="1:8" ht="15.75" hidden="1">
      <c r="A155" s="24">
        <v>790</v>
      </c>
      <c r="B155" s="24" t="s">
        <v>274</v>
      </c>
      <c r="C155" s="10"/>
      <c r="D155" s="25" t="s">
        <v>275</v>
      </c>
      <c r="E155" s="25"/>
      <c r="F155" s="26" t="s">
        <v>52</v>
      </c>
      <c r="G155" s="16">
        <v>0.6</v>
      </c>
      <c r="H155" s="16">
        <v>60</v>
      </c>
    </row>
    <row r="156" spans="1:8" ht="15.75" hidden="1">
      <c r="A156" s="24">
        <v>791</v>
      </c>
      <c r="B156" s="24" t="s">
        <v>276</v>
      </c>
      <c r="C156" s="10"/>
      <c r="D156" s="25" t="s">
        <v>277</v>
      </c>
      <c r="E156" s="25"/>
      <c r="F156" s="26" t="s">
        <v>52</v>
      </c>
      <c r="G156" s="16">
        <v>0.36</v>
      </c>
      <c r="H156" s="16">
        <v>36</v>
      </c>
    </row>
    <row r="157" spans="1:8" ht="15.75" hidden="1">
      <c r="A157" s="24">
        <v>800</v>
      </c>
      <c r="B157" s="24" t="s">
        <v>278</v>
      </c>
      <c r="C157" s="10"/>
      <c r="D157" s="25" t="s">
        <v>279</v>
      </c>
      <c r="E157" s="25"/>
      <c r="F157" s="26" t="s">
        <v>52</v>
      </c>
      <c r="G157" s="16">
        <v>6</v>
      </c>
      <c r="H157" s="16">
        <v>975</v>
      </c>
    </row>
    <row r="158" spans="1:8" ht="15.75" hidden="1">
      <c r="A158" s="24">
        <v>802</v>
      </c>
      <c r="B158" s="24" t="s">
        <v>280</v>
      </c>
      <c r="C158" s="10"/>
      <c r="D158" s="25" t="s">
        <v>281</v>
      </c>
      <c r="E158" s="25"/>
      <c r="F158" s="26" t="s">
        <v>52</v>
      </c>
      <c r="G158" s="16">
        <v>4.05</v>
      </c>
      <c r="H158" s="16">
        <v>1476</v>
      </c>
    </row>
    <row r="159" spans="1:8" ht="12.75" customHeight="1" hidden="1">
      <c r="A159" s="134" t="s">
        <v>101</v>
      </c>
      <c r="B159" s="134"/>
      <c r="C159" s="22"/>
      <c r="D159" s="135" t="s">
        <v>138</v>
      </c>
      <c r="E159" s="135"/>
      <c r="F159" s="135"/>
      <c r="G159" s="21">
        <v>9</v>
      </c>
      <c r="H159" s="16"/>
    </row>
    <row r="160" spans="1:8" ht="25.5" hidden="1">
      <c r="A160" s="24">
        <v>848</v>
      </c>
      <c r="B160" s="24" t="s">
        <v>139</v>
      </c>
      <c r="C160" s="10"/>
      <c r="D160" s="29" t="s">
        <v>140</v>
      </c>
      <c r="E160" s="29"/>
      <c r="F160" s="26" t="s">
        <v>142</v>
      </c>
      <c r="G160" s="16">
        <v>0.231</v>
      </c>
      <c r="H160" s="16">
        <v>27</v>
      </c>
    </row>
    <row r="161" spans="1:8" ht="15.75" hidden="1">
      <c r="A161" s="24">
        <v>850</v>
      </c>
      <c r="B161" s="24" t="s">
        <v>143</v>
      </c>
      <c r="C161" s="10"/>
      <c r="D161" s="25" t="s">
        <v>144</v>
      </c>
      <c r="E161" s="25"/>
      <c r="F161" s="26" t="s">
        <v>142</v>
      </c>
      <c r="G161" s="16">
        <v>0.09</v>
      </c>
      <c r="H161" s="16">
        <v>17</v>
      </c>
    </row>
    <row r="162" spans="1:8" ht="15.75" hidden="1">
      <c r="A162" s="24">
        <v>867</v>
      </c>
      <c r="B162" s="24" t="s">
        <v>145</v>
      </c>
      <c r="C162" s="10"/>
      <c r="D162" s="25" t="s">
        <v>146</v>
      </c>
      <c r="E162" s="25"/>
      <c r="F162" s="26" t="s">
        <v>142</v>
      </c>
      <c r="G162" s="16">
        <v>0.574</v>
      </c>
      <c r="H162" s="16">
        <v>41</v>
      </c>
    </row>
    <row r="163" spans="1:8" ht="15.75" hidden="1">
      <c r="A163" s="24">
        <v>868</v>
      </c>
      <c r="B163" s="24" t="s">
        <v>147</v>
      </c>
      <c r="C163" s="10"/>
      <c r="D163" s="25" t="s">
        <v>148</v>
      </c>
      <c r="E163" s="25"/>
      <c r="F163" s="26" t="s">
        <v>142</v>
      </c>
      <c r="G163" s="16">
        <v>0.574</v>
      </c>
      <c r="H163" s="16">
        <v>796</v>
      </c>
    </row>
    <row r="164" spans="1:8" ht="15.75" hidden="1">
      <c r="A164" s="24">
        <v>870</v>
      </c>
      <c r="B164" s="24" t="s">
        <v>282</v>
      </c>
      <c r="C164" s="10"/>
      <c r="D164" s="25" t="s">
        <v>283</v>
      </c>
      <c r="E164" s="25"/>
      <c r="F164" s="26" t="s">
        <v>142</v>
      </c>
      <c r="G164" s="16">
        <v>0.54</v>
      </c>
      <c r="H164" s="16">
        <v>246</v>
      </c>
    </row>
    <row r="165" spans="1:8" ht="15.75" hidden="1">
      <c r="A165" s="24">
        <v>872</v>
      </c>
      <c r="B165" s="24" t="s">
        <v>284</v>
      </c>
      <c r="C165" s="10"/>
      <c r="D165" s="25" t="s">
        <v>285</v>
      </c>
      <c r="E165" s="25"/>
      <c r="F165" s="26" t="s">
        <v>142</v>
      </c>
      <c r="G165" s="16">
        <v>0.54</v>
      </c>
      <c r="H165" s="16">
        <v>116</v>
      </c>
    </row>
    <row r="166" spans="1:8" ht="15.75" hidden="1">
      <c r="A166" s="24">
        <v>877</v>
      </c>
      <c r="B166" s="24" t="s">
        <v>286</v>
      </c>
      <c r="C166" s="10"/>
      <c r="D166" s="25" t="s">
        <v>287</v>
      </c>
      <c r="E166" s="25"/>
      <c r="F166" s="26" t="s">
        <v>288</v>
      </c>
      <c r="G166" s="16">
        <v>5</v>
      </c>
      <c r="H166" s="16">
        <v>439</v>
      </c>
    </row>
    <row r="167" spans="1:8" ht="12.75" customHeight="1" hidden="1">
      <c r="A167" s="134" t="s">
        <v>46</v>
      </c>
      <c r="B167" s="134"/>
      <c r="C167" s="22"/>
      <c r="D167" s="135" t="s">
        <v>151</v>
      </c>
      <c r="E167" s="135"/>
      <c r="F167" s="135"/>
      <c r="G167" s="21">
        <v>9</v>
      </c>
      <c r="H167" s="16"/>
    </row>
    <row r="168" spans="1:8" ht="25.5" hidden="1">
      <c r="A168" s="24">
        <v>880</v>
      </c>
      <c r="B168" s="24" t="s">
        <v>152</v>
      </c>
      <c r="C168" s="10"/>
      <c r="D168" s="29" t="s">
        <v>153</v>
      </c>
      <c r="E168" s="29"/>
      <c r="F168" s="26" t="s">
        <v>142</v>
      </c>
      <c r="G168" s="16">
        <v>0.231</v>
      </c>
      <c r="H168" s="16">
        <v>37</v>
      </c>
    </row>
    <row r="169" spans="1:8" ht="25.5" hidden="1">
      <c r="A169" s="24">
        <v>890</v>
      </c>
      <c r="B169" s="24" t="s">
        <v>154</v>
      </c>
      <c r="C169" s="10"/>
      <c r="D169" s="29" t="s">
        <v>155</v>
      </c>
      <c r="E169" s="29"/>
      <c r="F169" s="26" t="s">
        <v>142</v>
      </c>
      <c r="G169" s="16">
        <v>0.231</v>
      </c>
      <c r="H169" s="16">
        <v>223</v>
      </c>
    </row>
    <row r="170" spans="1:8" ht="25.5" hidden="1">
      <c r="A170" s="24">
        <v>899</v>
      </c>
      <c r="B170" s="24" t="s">
        <v>289</v>
      </c>
      <c r="C170" s="10"/>
      <c r="D170" s="29" t="s">
        <v>290</v>
      </c>
      <c r="E170" s="29"/>
      <c r="F170" s="26" t="s">
        <v>142</v>
      </c>
      <c r="G170" s="16">
        <v>11.55</v>
      </c>
      <c r="H170" s="16">
        <v>30775</v>
      </c>
    </row>
    <row r="171" spans="1:8" ht="25.5" hidden="1">
      <c r="A171" s="24">
        <v>902</v>
      </c>
      <c r="B171" s="24" t="s">
        <v>291</v>
      </c>
      <c r="C171" s="10"/>
      <c r="D171" s="25" t="s">
        <v>292</v>
      </c>
      <c r="E171" s="25"/>
      <c r="F171" s="26" t="s">
        <v>142</v>
      </c>
      <c r="G171" s="16">
        <v>0.432</v>
      </c>
      <c r="H171" s="16">
        <v>85</v>
      </c>
    </row>
    <row r="172" spans="1:8" ht="25.5" hidden="1">
      <c r="A172" s="24">
        <v>908</v>
      </c>
      <c r="B172" s="24" t="s">
        <v>293</v>
      </c>
      <c r="C172" s="10"/>
      <c r="D172" s="25" t="s">
        <v>294</v>
      </c>
      <c r="E172" s="25"/>
      <c r="F172" s="26" t="s">
        <v>142</v>
      </c>
      <c r="G172" s="16">
        <v>0.036</v>
      </c>
      <c r="H172" s="16">
        <v>352</v>
      </c>
    </row>
    <row r="173" spans="1:8" ht="25.5" hidden="1">
      <c r="A173" s="24">
        <v>918</v>
      </c>
      <c r="B173" s="24" t="s">
        <v>50</v>
      </c>
      <c r="C173" s="10"/>
      <c r="D173" s="25" t="s">
        <v>51</v>
      </c>
      <c r="E173" s="25"/>
      <c r="F173" s="26" t="s">
        <v>52</v>
      </c>
      <c r="G173" s="16">
        <v>9.022</v>
      </c>
      <c r="H173" s="16">
        <v>6474</v>
      </c>
    </row>
    <row r="174" spans="1:8" ht="25.5" hidden="1">
      <c r="A174" s="24">
        <v>919</v>
      </c>
      <c r="B174" s="24" t="s">
        <v>53</v>
      </c>
      <c r="C174" s="10"/>
      <c r="D174" s="25" t="s">
        <v>54</v>
      </c>
      <c r="E174" s="25"/>
      <c r="F174" s="26" t="s">
        <v>52</v>
      </c>
      <c r="G174" s="16">
        <v>8.1198</v>
      </c>
      <c r="H174" s="16">
        <v>1154</v>
      </c>
    </row>
    <row r="175" spans="1:8" ht="15.75" hidden="1">
      <c r="A175" s="24">
        <v>921</v>
      </c>
      <c r="B175" s="24" t="s">
        <v>295</v>
      </c>
      <c r="C175" s="10"/>
      <c r="D175" s="25" t="s">
        <v>296</v>
      </c>
      <c r="E175" s="25"/>
      <c r="F175" s="26" t="s">
        <v>142</v>
      </c>
      <c r="G175" s="16">
        <v>0.036</v>
      </c>
      <c r="H175" s="16">
        <v>7</v>
      </c>
    </row>
    <row r="176" spans="1:8" ht="12.75" customHeight="1" hidden="1">
      <c r="A176" s="134" t="s">
        <v>56</v>
      </c>
      <c r="B176" s="134"/>
      <c r="C176" s="22"/>
      <c r="D176" s="135" t="s">
        <v>297</v>
      </c>
      <c r="E176" s="135"/>
      <c r="F176" s="135"/>
      <c r="G176" s="21">
        <v>9</v>
      </c>
      <c r="H176" s="16"/>
    </row>
    <row r="177" spans="1:8" ht="15.75" hidden="1">
      <c r="A177" s="24">
        <v>936</v>
      </c>
      <c r="B177" s="24" t="s">
        <v>298</v>
      </c>
      <c r="C177" s="10"/>
      <c r="D177" s="25" t="s">
        <v>299</v>
      </c>
      <c r="E177" s="25"/>
      <c r="F177" s="26" t="s">
        <v>288</v>
      </c>
      <c r="G177" s="16">
        <v>5</v>
      </c>
      <c r="H177" s="16">
        <v>427</v>
      </c>
    </row>
    <row r="178" ht="15.75" hidden="1"/>
    <row r="179" ht="15.75" hidden="1"/>
    <row r="180" ht="15.75" hidden="1"/>
    <row r="181" ht="15.75" hidden="1"/>
    <row r="182" ht="15.75" hidden="1"/>
  </sheetData>
  <sheetProtection selectLockedCells="1" selectUnlockedCells="1"/>
  <mergeCells count="64">
    <mergeCell ref="A3:F3"/>
    <mergeCell ref="D4:H4"/>
    <mergeCell ref="A5:H5"/>
    <mergeCell ref="A6:A8"/>
    <mergeCell ref="B6:B8"/>
    <mergeCell ref="C6:C8"/>
    <mergeCell ref="D6:D8"/>
    <mergeCell ref="E6:E8"/>
    <mergeCell ref="F6:F8"/>
    <mergeCell ref="G7:H7"/>
    <mergeCell ref="G8:H8"/>
    <mergeCell ref="A17:B17"/>
    <mergeCell ref="A19:B19"/>
    <mergeCell ref="A25:B25"/>
    <mergeCell ref="A29:F29"/>
    <mergeCell ref="A30:B30"/>
    <mergeCell ref="A47:B47"/>
    <mergeCell ref="D47:F47"/>
    <mergeCell ref="A49:B49"/>
    <mergeCell ref="D49:F49"/>
    <mergeCell ref="A53:B53"/>
    <mergeCell ref="A57:F57"/>
    <mergeCell ref="A58:B58"/>
    <mergeCell ref="D58:F58"/>
    <mergeCell ref="A60:B60"/>
    <mergeCell ref="D60:F60"/>
    <mergeCell ref="A62:B62"/>
    <mergeCell ref="D62:F62"/>
    <mergeCell ref="A67:B67"/>
    <mergeCell ref="D67:F67"/>
    <mergeCell ref="D73:H73"/>
    <mergeCell ref="B77:F77"/>
    <mergeCell ref="A78:B78"/>
    <mergeCell ref="A80:B80"/>
    <mergeCell ref="D80:F80"/>
    <mergeCell ref="A93:B93"/>
    <mergeCell ref="D93:F93"/>
    <mergeCell ref="A95:B95"/>
    <mergeCell ref="D95:F95"/>
    <mergeCell ref="B96:F96"/>
    <mergeCell ref="A97:B97"/>
    <mergeCell ref="D97:F97"/>
    <mergeCell ref="A100:B100"/>
    <mergeCell ref="D100:F100"/>
    <mergeCell ref="A114:F114"/>
    <mergeCell ref="A115:B115"/>
    <mergeCell ref="D115:F115"/>
    <mergeCell ref="A119:B119"/>
    <mergeCell ref="D119:F119"/>
    <mergeCell ref="A130:B130"/>
    <mergeCell ref="D130:F130"/>
    <mergeCell ref="A136:B136"/>
    <mergeCell ref="D136:F136"/>
    <mergeCell ref="A137:B137"/>
    <mergeCell ref="D137:F137"/>
    <mergeCell ref="A176:B176"/>
    <mergeCell ref="D176:F176"/>
    <mergeCell ref="A148:F148"/>
    <mergeCell ref="A149:B149"/>
    <mergeCell ref="D149:F149"/>
    <mergeCell ref="A159:B159"/>
    <mergeCell ref="D159:F159"/>
    <mergeCell ref="A167:B167"/>
    <mergeCell ref="D167:F167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4"/>
  <sheetViews>
    <sheetView tabSelected="1" zoomScalePageLayoutView="0" workbookViewId="0" topLeftCell="C1">
      <pane ySplit="3" topLeftCell="A135" activePane="bottomLeft" state="frozen"/>
      <selection pane="topLeft" activeCell="A1" sqref="A1"/>
      <selection pane="bottomLeft" activeCell="I91" sqref="I9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5.375" style="3" customWidth="1"/>
    <col min="4" max="4" width="52.375" style="4" customWidth="1"/>
    <col min="5" max="5" width="17.75390625" style="4" customWidth="1"/>
    <col min="6" max="6" width="8.75390625" style="3" customWidth="1"/>
    <col min="7" max="7" width="8.875" style="5" customWidth="1"/>
    <col min="8" max="8" width="12.25390625" style="5" customWidth="1"/>
    <col min="9" max="9" width="0.2421875" style="6" customWidth="1"/>
    <col min="10" max="10" width="10.75390625" style="6" customWidth="1"/>
    <col min="11" max="11" width="13.125" style="1" customWidth="1"/>
    <col min="12" max="16384" width="9.125" style="1" customWidth="1"/>
  </cols>
  <sheetData>
    <row r="1" spans="1:11" ht="12" customHeight="1">
      <c r="A1" s="49" t="s">
        <v>1</v>
      </c>
      <c r="B1" s="49"/>
      <c r="C1" s="152" t="s">
        <v>455</v>
      </c>
      <c r="D1" s="152"/>
      <c r="E1" s="152"/>
      <c r="F1" s="152"/>
      <c r="G1" s="152"/>
      <c r="H1" s="152"/>
      <c r="I1" s="152"/>
      <c r="J1" s="152"/>
      <c r="K1" s="152"/>
    </row>
    <row r="2" spans="1:11" ht="12" customHeight="1">
      <c r="A2" s="50"/>
      <c r="B2" s="50"/>
      <c r="C2" s="147" t="s">
        <v>456</v>
      </c>
      <c r="D2" s="147"/>
      <c r="E2" s="147"/>
      <c r="F2" s="147"/>
      <c r="G2" s="147"/>
      <c r="H2" s="147"/>
      <c r="I2" s="147"/>
      <c r="J2" s="147"/>
      <c r="K2" s="147"/>
    </row>
    <row r="3" spans="1:11" s="56" customFormat="1" ht="48.75" customHeight="1">
      <c r="A3" s="52" t="s">
        <v>3</v>
      </c>
      <c r="B3" s="52" t="s">
        <v>4</v>
      </c>
      <c r="C3" s="53" t="s">
        <v>5</v>
      </c>
      <c r="D3" s="54" t="s">
        <v>6</v>
      </c>
      <c r="E3" s="54" t="s">
        <v>7</v>
      </c>
      <c r="F3" s="53" t="s">
        <v>8</v>
      </c>
      <c r="G3" s="55" t="s">
        <v>300</v>
      </c>
      <c r="H3" s="55" t="s">
        <v>301</v>
      </c>
      <c r="I3" s="55" t="s">
        <v>302</v>
      </c>
      <c r="J3" s="55" t="s">
        <v>303</v>
      </c>
      <c r="K3" s="55" t="s">
        <v>304</v>
      </c>
    </row>
    <row r="4" spans="1:11" ht="10.5" customHeight="1">
      <c r="A4" s="57">
        <v>1</v>
      </c>
      <c r="B4" s="57">
        <v>2</v>
      </c>
      <c r="C4" s="58">
        <v>1</v>
      </c>
      <c r="D4" s="59">
        <v>2</v>
      </c>
      <c r="E4" s="59">
        <v>3</v>
      </c>
      <c r="F4" s="60">
        <v>4</v>
      </c>
      <c r="G4" s="61">
        <v>5</v>
      </c>
      <c r="H4" s="61">
        <v>6</v>
      </c>
      <c r="I4" s="61">
        <v>7</v>
      </c>
      <c r="J4" s="61">
        <v>8</v>
      </c>
      <c r="K4" s="61">
        <v>9</v>
      </c>
    </row>
    <row r="5" spans="1:11" ht="12" customHeight="1">
      <c r="A5" s="57"/>
      <c r="B5" s="57"/>
      <c r="C5" s="153" t="s">
        <v>305</v>
      </c>
      <c r="D5" s="153"/>
      <c r="E5" s="153"/>
      <c r="F5" s="153"/>
      <c r="G5" s="153"/>
      <c r="H5" s="153"/>
      <c r="I5" s="62"/>
      <c r="J5" s="62"/>
      <c r="K5" s="62"/>
    </row>
    <row r="6" spans="1:11" ht="12" customHeight="1">
      <c r="A6" s="57"/>
      <c r="B6" s="57"/>
      <c r="C6" s="58">
        <v>1</v>
      </c>
      <c r="D6" s="63" t="s">
        <v>306</v>
      </c>
      <c r="E6" s="63" t="s">
        <v>18</v>
      </c>
      <c r="F6" s="60" t="s">
        <v>307</v>
      </c>
      <c r="G6" s="61">
        <v>1</v>
      </c>
      <c r="H6" s="61">
        <v>12</v>
      </c>
      <c r="I6" s="61">
        <f>1200*G6*H6</f>
        <v>14400</v>
      </c>
      <c r="J6" s="61">
        <v>5912.4</v>
      </c>
      <c r="K6" s="64">
        <f>I6/12/5912.4</f>
        <v>0.2029632636492795</v>
      </c>
    </row>
    <row r="7" spans="1:11" ht="12" customHeight="1">
      <c r="A7" s="65"/>
      <c r="B7" s="65"/>
      <c r="C7" s="58">
        <v>2</v>
      </c>
      <c r="D7" s="66" t="s">
        <v>165</v>
      </c>
      <c r="E7" s="66" t="s">
        <v>16</v>
      </c>
      <c r="F7" s="60" t="s">
        <v>136</v>
      </c>
      <c r="G7" s="61">
        <v>5912.4</v>
      </c>
      <c r="H7" s="61">
        <v>12</v>
      </c>
      <c r="I7" s="58">
        <f>H7*J7*1.25</f>
        <v>88685.99999999999</v>
      </c>
      <c r="J7" s="61">
        <v>5912.4</v>
      </c>
      <c r="K7" s="64">
        <f aca="true" t="shared" si="0" ref="K7:K36">I7/12/5912.4</f>
        <v>1.25</v>
      </c>
    </row>
    <row r="8" spans="1:11" ht="12" customHeight="1">
      <c r="A8" s="65"/>
      <c r="B8" s="65"/>
      <c r="C8" s="58">
        <v>3</v>
      </c>
      <c r="D8" s="66" t="s">
        <v>17</v>
      </c>
      <c r="E8" s="66" t="s">
        <v>18</v>
      </c>
      <c r="F8" s="60" t="s">
        <v>136</v>
      </c>
      <c r="G8" s="61">
        <v>5912.4</v>
      </c>
      <c r="H8" s="61">
        <v>12</v>
      </c>
      <c r="I8" s="58">
        <f>G8*0.5*H8</f>
        <v>35474.399999999994</v>
      </c>
      <c r="J8" s="61">
        <v>5912.4</v>
      </c>
      <c r="K8" s="64">
        <f t="shared" si="0"/>
        <v>0.49999999999999994</v>
      </c>
    </row>
    <row r="9" spans="1:11" ht="12" customHeight="1">
      <c r="A9" s="65"/>
      <c r="B9" s="65"/>
      <c r="C9" s="58">
        <v>4</v>
      </c>
      <c r="D9" s="67" t="s">
        <v>308</v>
      </c>
      <c r="E9" s="67" t="s">
        <v>18</v>
      </c>
      <c r="F9" s="60" t="s">
        <v>309</v>
      </c>
      <c r="G9" s="61">
        <v>80</v>
      </c>
      <c r="H9" s="61">
        <v>12</v>
      </c>
      <c r="I9" s="58">
        <f>0.57*J9*12</f>
        <v>40440.81599999999</v>
      </c>
      <c r="J9" s="61">
        <v>5912.4</v>
      </c>
      <c r="K9" s="64">
        <f t="shared" si="0"/>
        <v>0.57</v>
      </c>
    </row>
    <row r="10" spans="1:11" ht="12" customHeight="1" hidden="1">
      <c r="A10" s="65"/>
      <c r="B10" s="65"/>
      <c r="C10" s="58">
        <v>8</v>
      </c>
      <c r="D10" s="66" t="s">
        <v>310</v>
      </c>
      <c r="E10" s="67" t="s">
        <v>18</v>
      </c>
      <c r="F10" s="60" t="s">
        <v>311</v>
      </c>
      <c r="G10" s="61"/>
      <c r="H10" s="61"/>
      <c r="I10" s="58">
        <v>0</v>
      </c>
      <c r="J10" s="61">
        <v>5912.4</v>
      </c>
      <c r="K10" s="64">
        <f t="shared" si="0"/>
        <v>0</v>
      </c>
    </row>
    <row r="11" spans="1:11" ht="12" customHeight="1">
      <c r="A11" s="65"/>
      <c r="B11" s="65"/>
      <c r="C11" s="58">
        <v>5</v>
      </c>
      <c r="D11" s="66" t="s">
        <v>20</v>
      </c>
      <c r="E11" s="66" t="s">
        <v>21</v>
      </c>
      <c r="F11" s="60" t="s">
        <v>136</v>
      </c>
      <c r="G11" s="58">
        <v>124.4</v>
      </c>
      <c r="H11" s="61">
        <v>12</v>
      </c>
      <c r="I11" s="58">
        <f>J11*H11*0.07</f>
        <v>4966.415999999999</v>
      </c>
      <c r="J11" s="61">
        <v>5912.4</v>
      </c>
      <c r="K11" s="64">
        <f t="shared" si="0"/>
        <v>0.06999999999999999</v>
      </c>
    </row>
    <row r="12" spans="1:11" ht="12" customHeight="1" hidden="1">
      <c r="A12" s="65"/>
      <c r="B12" s="65"/>
      <c r="C12" s="58">
        <v>6</v>
      </c>
      <c r="D12" s="66" t="s">
        <v>312</v>
      </c>
      <c r="E12" s="67" t="s">
        <v>23</v>
      </c>
      <c r="F12" s="60" t="s">
        <v>136</v>
      </c>
      <c r="G12" s="58">
        <v>809</v>
      </c>
      <c r="H12" s="61">
        <v>1</v>
      </c>
      <c r="I12" s="58">
        <f>J12*H12*0.02</f>
        <v>118.24799999999999</v>
      </c>
      <c r="J12" s="61">
        <v>5912.4</v>
      </c>
      <c r="K12" s="64">
        <f t="shared" si="0"/>
        <v>0.0016666666666666666</v>
      </c>
    </row>
    <row r="13" spans="1:11" ht="12.75" customHeight="1" hidden="1">
      <c r="A13" s="65"/>
      <c r="B13" s="65"/>
      <c r="C13" s="58">
        <v>6</v>
      </c>
      <c r="D13" s="66" t="s">
        <v>313</v>
      </c>
      <c r="E13" s="67" t="s">
        <v>18</v>
      </c>
      <c r="F13" s="60" t="s">
        <v>311</v>
      </c>
      <c r="G13" s="61"/>
      <c r="H13" s="61">
        <v>12</v>
      </c>
      <c r="I13" s="58">
        <v>0</v>
      </c>
      <c r="J13" s="61">
        <v>5912.4</v>
      </c>
      <c r="K13" s="64">
        <f t="shared" si="0"/>
        <v>0</v>
      </c>
    </row>
    <row r="14" spans="1:11" ht="12" customHeight="1" hidden="1">
      <c r="A14" s="65"/>
      <c r="B14" s="65"/>
      <c r="C14" s="58">
        <v>7</v>
      </c>
      <c r="D14" s="66" t="s">
        <v>314</v>
      </c>
      <c r="E14" s="67" t="s">
        <v>23</v>
      </c>
      <c r="F14" s="60" t="s">
        <v>315</v>
      </c>
      <c r="G14" s="61"/>
      <c r="H14" s="61">
        <v>1</v>
      </c>
      <c r="I14" s="58">
        <f>G14*2400</f>
        <v>0</v>
      </c>
      <c r="J14" s="61">
        <v>5912.4</v>
      </c>
      <c r="K14" s="64">
        <f t="shared" si="0"/>
        <v>0</v>
      </c>
    </row>
    <row r="15" spans="1:11" ht="12" customHeight="1">
      <c r="A15" s="65"/>
      <c r="B15" s="65"/>
      <c r="C15" s="58">
        <v>7</v>
      </c>
      <c r="D15" s="66" t="s">
        <v>316</v>
      </c>
      <c r="E15" s="67" t="s">
        <v>18</v>
      </c>
      <c r="F15" s="60" t="s">
        <v>136</v>
      </c>
      <c r="G15" s="61">
        <v>5912.4</v>
      </c>
      <c r="H15" s="61">
        <v>12</v>
      </c>
      <c r="I15" s="58">
        <f>G15*1.85*H15</f>
        <v>131255.28</v>
      </c>
      <c r="J15" s="61">
        <v>5912.4</v>
      </c>
      <c r="K15" s="64">
        <f t="shared" si="0"/>
        <v>1.8500000000000003</v>
      </c>
    </row>
    <row r="16" spans="1:11" ht="12" customHeight="1">
      <c r="A16" s="148"/>
      <c r="B16" s="148"/>
      <c r="C16" s="149" t="s">
        <v>318</v>
      </c>
      <c r="D16" s="149"/>
      <c r="E16" s="149"/>
      <c r="F16" s="149"/>
      <c r="G16" s="149"/>
      <c r="H16" s="149"/>
      <c r="I16" s="70"/>
      <c r="J16" s="61">
        <v>5912.4</v>
      </c>
      <c r="K16" s="64"/>
    </row>
    <row r="17" spans="1:11" ht="12" customHeight="1">
      <c r="A17" s="65"/>
      <c r="B17" s="65"/>
      <c r="C17" s="58">
        <v>8</v>
      </c>
      <c r="D17" s="67" t="s">
        <v>319</v>
      </c>
      <c r="E17" s="67" t="s">
        <v>13</v>
      </c>
      <c r="F17" s="60" t="s">
        <v>320</v>
      </c>
      <c r="G17" s="61">
        <v>160</v>
      </c>
      <c r="H17" s="61">
        <v>4</v>
      </c>
      <c r="I17" s="58">
        <f>G17*20.41*H17</f>
        <v>13062.4</v>
      </c>
      <c r="J17" s="61">
        <v>5912.4</v>
      </c>
      <c r="K17" s="64">
        <f t="shared" si="0"/>
        <v>0.1841102316036353</v>
      </c>
    </row>
    <row r="18" spans="1:11" ht="12" customHeight="1">
      <c r="A18" s="65"/>
      <c r="B18" s="65"/>
      <c r="C18" s="58">
        <v>9</v>
      </c>
      <c r="D18" s="67" t="s">
        <v>443</v>
      </c>
      <c r="E18" s="67" t="s">
        <v>13</v>
      </c>
      <c r="F18" s="60" t="s">
        <v>320</v>
      </c>
      <c r="G18" s="61">
        <v>80</v>
      </c>
      <c r="H18" s="61">
        <v>4</v>
      </c>
      <c r="I18" s="58">
        <f>G18*59.68*H18</f>
        <v>19097.6</v>
      </c>
      <c r="J18" s="61">
        <v>5912.4</v>
      </c>
      <c r="K18" s="64">
        <f>I18/12/5912.4</f>
        <v>0.26917439054642217</v>
      </c>
    </row>
    <row r="19" spans="1:11" ht="12" customHeight="1">
      <c r="A19" s="65"/>
      <c r="B19" s="65"/>
      <c r="C19" s="58">
        <v>10</v>
      </c>
      <c r="D19" s="67" t="s">
        <v>463</v>
      </c>
      <c r="E19" s="67" t="s">
        <v>462</v>
      </c>
      <c r="F19" s="60" t="s">
        <v>344</v>
      </c>
      <c r="G19" s="61">
        <f>20+150+30</f>
        <v>200</v>
      </c>
      <c r="H19" s="61"/>
      <c r="I19" s="58">
        <f>G19*44.5</f>
        <v>8900</v>
      </c>
      <c r="J19" s="61">
        <v>5912.4</v>
      </c>
      <c r="K19" s="64">
        <f>I19/12/5912.4</f>
        <v>0.12544257267212414</v>
      </c>
    </row>
    <row r="20" spans="1:11" ht="12" customHeight="1">
      <c r="A20" s="71"/>
      <c r="B20" s="71"/>
      <c r="C20" s="72"/>
      <c r="D20" s="73" t="s">
        <v>47</v>
      </c>
      <c r="E20" s="74"/>
      <c r="F20" s="75"/>
      <c r="G20" s="61"/>
      <c r="H20" s="61"/>
      <c r="I20" s="76"/>
      <c r="J20" s="61"/>
      <c r="K20" s="64"/>
    </row>
    <row r="21" spans="1:11" ht="24" customHeight="1" hidden="1">
      <c r="A21" s="71">
        <v>918</v>
      </c>
      <c r="B21" s="71" t="s">
        <v>50</v>
      </c>
      <c r="C21" s="58">
        <v>12</v>
      </c>
      <c r="D21" s="74" t="s">
        <v>446</v>
      </c>
      <c r="E21" s="74" t="s">
        <v>68</v>
      </c>
      <c r="F21" s="75" t="s">
        <v>136</v>
      </c>
      <c r="G21" s="61"/>
      <c r="H21" s="61"/>
      <c r="I21" s="58">
        <f>G21*1202.36</f>
        <v>0</v>
      </c>
      <c r="J21" s="61">
        <v>5912.4</v>
      </c>
      <c r="K21" s="64">
        <f t="shared" si="0"/>
        <v>0</v>
      </c>
    </row>
    <row r="22" spans="1:11" ht="24" customHeight="1" hidden="1">
      <c r="A22" s="71"/>
      <c r="B22" s="71"/>
      <c r="C22" s="58"/>
      <c r="D22" s="74" t="s">
        <v>448</v>
      </c>
      <c r="E22" s="74" t="s">
        <v>68</v>
      </c>
      <c r="F22" s="75" t="s">
        <v>136</v>
      </c>
      <c r="G22" s="61"/>
      <c r="H22" s="61"/>
      <c r="I22" s="58">
        <f>G22*148.8</f>
        <v>0</v>
      </c>
      <c r="J22" s="61">
        <v>5912.4</v>
      </c>
      <c r="K22" s="64">
        <f t="shared" si="0"/>
        <v>0</v>
      </c>
    </row>
    <row r="23" spans="1:11" ht="20.25" customHeight="1" hidden="1">
      <c r="A23" s="71"/>
      <c r="B23" s="71"/>
      <c r="C23" s="58"/>
      <c r="D23" s="74" t="s">
        <v>441</v>
      </c>
      <c r="E23" s="74" t="s">
        <v>68</v>
      </c>
      <c r="F23" s="75" t="s">
        <v>136</v>
      </c>
      <c r="G23" s="61"/>
      <c r="H23" s="61"/>
      <c r="I23" s="58">
        <f>G23*268.1</f>
        <v>0</v>
      </c>
      <c r="J23" s="61">
        <v>5912.4</v>
      </c>
      <c r="K23" s="64">
        <f t="shared" si="0"/>
        <v>0</v>
      </c>
    </row>
    <row r="24" spans="1:11" ht="0.75" customHeight="1">
      <c r="A24" s="71"/>
      <c r="B24" s="71"/>
      <c r="C24" s="72">
        <v>13</v>
      </c>
      <c r="D24" s="74" t="s">
        <v>321</v>
      </c>
      <c r="E24" s="74" t="s">
        <v>68</v>
      </c>
      <c r="F24" s="75" t="s">
        <v>322</v>
      </c>
      <c r="G24" s="61"/>
      <c r="H24" s="58"/>
      <c r="I24" s="58">
        <f>G24*H24*24.88</f>
        <v>0</v>
      </c>
      <c r="J24" s="61">
        <v>5912.4</v>
      </c>
      <c r="K24" s="64">
        <f t="shared" si="0"/>
        <v>0</v>
      </c>
    </row>
    <row r="25" spans="1:11" ht="18" customHeight="1">
      <c r="A25" s="68"/>
      <c r="B25" s="77"/>
      <c r="C25" s="72">
        <v>11</v>
      </c>
      <c r="D25" s="78" t="s">
        <v>323</v>
      </c>
      <c r="E25" s="74" t="s">
        <v>68</v>
      </c>
      <c r="F25" s="75" t="s">
        <v>322</v>
      </c>
      <c r="G25" s="61">
        <f>1.28+0.02</f>
        <v>1.3</v>
      </c>
      <c r="H25" s="79">
        <v>4</v>
      </c>
      <c r="I25" s="80">
        <f>36.22*100*G25*H25</f>
        <v>18834.4</v>
      </c>
      <c r="J25" s="61">
        <v>5912.4</v>
      </c>
      <c r="K25" s="64">
        <f t="shared" si="0"/>
        <v>0.2654646731163882</v>
      </c>
    </row>
    <row r="26" spans="1:11" ht="18" customHeight="1">
      <c r="A26" s="68"/>
      <c r="B26" s="77"/>
      <c r="C26" s="72">
        <v>12</v>
      </c>
      <c r="D26" s="78" t="s">
        <v>453</v>
      </c>
      <c r="E26" s="74" t="s">
        <v>68</v>
      </c>
      <c r="F26" s="75" t="s">
        <v>288</v>
      </c>
      <c r="G26" s="61">
        <f>1.8+18</f>
        <v>19.8</v>
      </c>
      <c r="H26" s="79">
        <v>4</v>
      </c>
      <c r="I26" s="80">
        <f>48.58*G26*H26</f>
        <v>3847.536</v>
      </c>
      <c r="J26" s="61">
        <v>5912.4</v>
      </c>
      <c r="K26" s="64">
        <f t="shared" si="0"/>
        <v>0.054229754414450985</v>
      </c>
    </row>
    <row r="27" spans="1:11" ht="18" customHeight="1">
      <c r="A27" s="68"/>
      <c r="B27" s="77"/>
      <c r="C27" s="72">
        <v>13</v>
      </c>
      <c r="D27" s="78" t="s">
        <v>324</v>
      </c>
      <c r="E27" s="74" t="s">
        <v>68</v>
      </c>
      <c r="F27" s="75" t="s">
        <v>136</v>
      </c>
      <c r="G27" s="61">
        <v>11.34</v>
      </c>
      <c r="H27" s="79">
        <v>4</v>
      </c>
      <c r="I27" s="80">
        <f>G27*H27*26.22</f>
        <v>1189.3392</v>
      </c>
      <c r="J27" s="61">
        <v>5912.4</v>
      </c>
      <c r="K27" s="64">
        <f t="shared" si="0"/>
        <v>0.01676334483458494</v>
      </c>
    </row>
    <row r="28" spans="1:11" ht="18" customHeight="1" hidden="1">
      <c r="A28" s="68"/>
      <c r="B28" s="77"/>
      <c r="C28" s="72"/>
      <c r="D28" s="78" t="s">
        <v>447</v>
      </c>
      <c r="E28" s="74" t="s">
        <v>68</v>
      </c>
      <c r="F28" s="75" t="s">
        <v>136</v>
      </c>
      <c r="G28" s="61"/>
      <c r="H28" s="79"/>
      <c r="I28" s="80">
        <f>G28*151.9</f>
        <v>0</v>
      </c>
      <c r="J28" s="61">
        <v>5912.4</v>
      </c>
      <c r="K28" s="64">
        <f t="shared" si="0"/>
        <v>0</v>
      </c>
    </row>
    <row r="29" spans="1:11" ht="23.25" customHeight="1" hidden="1">
      <c r="A29" s="68"/>
      <c r="B29" s="77"/>
      <c r="C29" s="72"/>
      <c r="D29" s="78" t="s">
        <v>449</v>
      </c>
      <c r="E29" s="74" t="s">
        <v>68</v>
      </c>
      <c r="F29" s="75" t="s">
        <v>136</v>
      </c>
      <c r="G29" s="61"/>
      <c r="H29" s="79"/>
      <c r="I29" s="80">
        <f>G29*301.57</f>
        <v>0</v>
      </c>
      <c r="J29" s="61">
        <v>5912.4</v>
      </c>
      <c r="K29" s="64">
        <f t="shared" si="0"/>
        <v>0</v>
      </c>
    </row>
    <row r="30" spans="1:11" ht="12" customHeight="1">
      <c r="A30" s="68"/>
      <c r="B30" s="77"/>
      <c r="C30" s="69"/>
      <c r="D30" s="81" t="s">
        <v>325</v>
      </c>
      <c r="E30" s="69"/>
      <c r="F30" s="69"/>
      <c r="G30" s="61"/>
      <c r="H30" s="69"/>
      <c r="I30" s="82"/>
      <c r="J30" s="61"/>
      <c r="K30" s="64"/>
    </row>
    <row r="31" spans="1:11" ht="27" customHeight="1" hidden="1">
      <c r="A31" s="71">
        <v>1</v>
      </c>
      <c r="B31" s="71" t="s">
        <v>27</v>
      </c>
      <c r="C31" s="72">
        <v>17</v>
      </c>
      <c r="D31" s="74" t="s">
        <v>326</v>
      </c>
      <c r="E31" s="74" t="s">
        <v>327</v>
      </c>
      <c r="F31" s="75" t="s">
        <v>328</v>
      </c>
      <c r="G31" s="61"/>
      <c r="H31" s="61"/>
      <c r="I31" s="58">
        <f>G31*188.16</f>
        <v>0</v>
      </c>
      <c r="J31" s="61">
        <v>5912.4</v>
      </c>
      <c r="K31" s="64">
        <f t="shared" si="0"/>
        <v>0</v>
      </c>
    </row>
    <row r="32" spans="1:11" ht="22.5" customHeight="1" hidden="1">
      <c r="A32" s="71"/>
      <c r="B32" s="71"/>
      <c r="C32" s="72">
        <v>14</v>
      </c>
      <c r="D32" s="132" t="s">
        <v>457</v>
      </c>
      <c r="E32" s="74" t="s">
        <v>327</v>
      </c>
      <c r="F32" s="75" t="s">
        <v>136</v>
      </c>
      <c r="G32" s="61">
        <v>0.4</v>
      </c>
      <c r="H32" s="61">
        <v>1</v>
      </c>
      <c r="I32" s="58">
        <f>G32*497.5</f>
        <v>199</v>
      </c>
      <c r="J32" s="61">
        <v>5912.4</v>
      </c>
      <c r="K32" s="64">
        <f t="shared" si="0"/>
        <v>0.0028048395462643484</v>
      </c>
    </row>
    <row r="33" spans="1:11" ht="22.5" customHeight="1" hidden="1">
      <c r="A33" s="71"/>
      <c r="B33" s="71"/>
      <c r="C33" s="72"/>
      <c r="D33" s="132" t="s">
        <v>444</v>
      </c>
      <c r="E33" s="74" t="s">
        <v>327</v>
      </c>
      <c r="F33" s="75" t="s">
        <v>136</v>
      </c>
      <c r="G33" s="61"/>
      <c r="H33" s="61"/>
      <c r="I33" s="58">
        <f>G33*235.16</f>
        <v>0</v>
      </c>
      <c r="J33" s="61">
        <v>5912.4</v>
      </c>
      <c r="K33" s="64">
        <f t="shared" si="0"/>
        <v>0</v>
      </c>
    </row>
    <row r="34" spans="1:11" ht="22.5" customHeight="1" hidden="1">
      <c r="A34" s="71"/>
      <c r="B34" s="71"/>
      <c r="C34" s="72"/>
      <c r="D34" s="132" t="s">
        <v>445</v>
      </c>
      <c r="E34" s="74" t="s">
        <v>327</v>
      </c>
      <c r="F34" s="75" t="s">
        <v>136</v>
      </c>
      <c r="G34" s="61"/>
      <c r="H34" s="61"/>
      <c r="I34" s="58">
        <f>G34*293.84</f>
        <v>0</v>
      </c>
      <c r="J34" s="61">
        <v>5912.4</v>
      </c>
      <c r="K34" s="64">
        <f t="shared" si="0"/>
        <v>0</v>
      </c>
    </row>
    <row r="35" spans="1:11" ht="22.5" customHeight="1" hidden="1">
      <c r="A35" s="71"/>
      <c r="B35" s="71"/>
      <c r="C35" s="72"/>
      <c r="D35" s="132" t="s">
        <v>429</v>
      </c>
      <c r="E35" s="74" t="s">
        <v>327</v>
      </c>
      <c r="F35" s="75" t="s">
        <v>136</v>
      </c>
      <c r="G35" s="61"/>
      <c r="H35" s="61"/>
      <c r="I35" s="58">
        <f>127.82*G35</f>
        <v>0</v>
      </c>
      <c r="J35" s="61">
        <v>5912.4</v>
      </c>
      <c r="K35" s="64">
        <f t="shared" si="0"/>
        <v>0</v>
      </c>
    </row>
    <row r="36" spans="1:11" ht="22.5" customHeight="1" hidden="1">
      <c r="A36" s="71"/>
      <c r="B36" s="71"/>
      <c r="C36" s="72"/>
      <c r="D36" s="74" t="s">
        <v>450</v>
      </c>
      <c r="E36" s="74" t="s">
        <v>327</v>
      </c>
      <c r="F36" s="75" t="s">
        <v>451</v>
      </c>
      <c r="G36" s="61"/>
      <c r="H36" s="61"/>
      <c r="I36" s="58">
        <f>G36*109.79</f>
        <v>0</v>
      </c>
      <c r="J36" s="61">
        <v>5912.4</v>
      </c>
      <c r="K36" s="64">
        <f t="shared" si="0"/>
        <v>0</v>
      </c>
    </row>
    <row r="37" spans="1:11" ht="12" customHeight="1">
      <c r="A37" s="71"/>
      <c r="B37" s="71"/>
      <c r="C37" s="72"/>
      <c r="D37" s="73" t="s">
        <v>32</v>
      </c>
      <c r="E37" s="74"/>
      <c r="F37" s="75"/>
      <c r="G37" s="61"/>
      <c r="H37" s="61"/>
      <c r="I37" s="76"/>
      <c r="J37" s="61"/>
      <c r="K37" s="64"/>
    </row>
    <row r="38" spans="1:11" ht="21.75" customHeight="1">
      <c r="A38" s="71">
        <v>5</v>
      </c>
      <c r="B38" s="71" t="s">
        <v>38</v>
      </c>
      <c r="C38" s="72">
        <v>15</v>
      </c>
      <c r="D38" s="74" t="s">
        <v>458</v>
      </c>
      <c r="E38" s="74" t="s">
        <v>60</v>
      </c>
      <c r="F38" s="75" t="s">
        <v>40</v>
      </c>
      <c r="G38" s="61">
        <v>0.14</v>
      </c>
      <c r="H38" s="61">
        <v>2</v>
      </c>
      <c r="I38" s="58">
        <f>384*G38*H38*10</f>
        <v>1075.2</v>
      </c>
      <c r="J38" s="61">
        <v>5912.4</v>
      </c>
      <c r="K38" s="64">
        <f>I38/12/5912.4</f>
        <v>0.015154590352479538</v>
      </c>
    </row>
    <row r="39" spans="1:11" ht="17.25" customHeight="1">
      <c r="A39" s="71"/>
      <c r="B39" s="71"/>
      <c r="C39" s="72">
        <v>16</v>
      </c>
      <c r="D39" s="74" t="s">
        <v>329</v>
      </c>
      <c r="E39" s="74" t="s">
        <v>60</v>
      </c>
      <c r="F39" s="75" t="s">
        <v>170</v>
      </c>
      <c r="G39" s="61">
        <f>6+4</f>
        <v>10</v>
      </c>
      <c r="H39" s="61">
        <v>2</v>
      </c>
      <c r="I39" s="58">
        <f>G39*131.742</f>
        <v>1317.4199999999998</v>
      </c>
      <c r="J39" s="61">
        <v>5912.4</v>
      </c>
      <c r="K39" s="64">
        <f aca="true" t="shared" si="1" ref="K39:K44">I39/12/5912.4</f>
        <v>0.018568601583113454</v>
      </c>
    </row>
    <row r="40" spans="1:11" ht="22.5" hidden="1">
      <c r="A40" s="71"/>
      <c r="B40" s="71"/>
      <c r="C40" s="72">
        <v>20</v>
      </c>
      <c r="D40" s="74" t="s">
        <v>330</v>
      </c>
      <c r="E40" s="74" t="s">
        <v>60</v>
      </c>
      <c r="F40" s="75" t="s">
        <v>136</v>
      </c>
      <c r="G40" s="61"/>
      <c r="H40" s="61"/>
      <c r="I40" s="58">
        <f>10.356*G40*H40</f>
        <v>0</v>
      </c>
      <c r="J40" s="61">
        <v>5912.4</v>
      </c>
      <c r="K40" s="64">
        <f t="shared" si="1"/>
        <v>0</v>
      </c>
    </row>
    <row r="41" spans="1:11" ht="22.5" hidden="1">
      <c r="A41" s="71"/>
      <c r="B41" s="71"/>
      <c r="C41" s="72">
        <v>17</v>
      </c>
      <c r="D41" s="74" t="s">
        <v>331</v>
      </c>
      <c r="E41" s="74" t="s">
        <v>60</v>
      </c>
      <c r="F41" s="75" t="s">
        <v>332</v>
      </c>
      <c r="G41" s="61">
        <f>1</f>
        <v>1</v>
      </c>
      <c r="H41" s="61">
        <v>1</v>
      </c>
      <c r="I41" s="58">
        <f>G41*108.42</f>
        <v>108.42</v>
      </c>
      <c r="J41" s="61">
        <v>5912.4</v>
      </c>
      <c r="K41" s="64">
        <f t="shared" si="1"/>
        <v>0.0015281442392260335</v>
      </c>
    </row>
    <row r="42" spans="1:11" ht="22.5" hidden="1">
      <c r="A42" s="71"/>
      <c r="B42" s="71"/>
      <c r="C42" s="72">
        <v>22</v>
      </c>
      <c r="D42" s="74" t="s">
        <v>442</v>
      </c>
      <c r="E42" s="74" t="s">
        <v>327</v>
      </c>
      <c r="F42" s="75" t="s">
        <v>136</v>
      </c>
      <c r="G42" s="61"/>
      <c r="H42" s="61"/>
      <c r="I42" s="58">
        <f>G42*180.36</f>
        <v>0</v>
      </c>
      <c r="J42" s="61">
        <v>5912.4</v>
      </c>
      <c r="K42" s="64">
        <f t="shared" si="1"/>
        <v>0</v>
      </c>
    </row>
    <row r="43" spans="1:11" ht="23.25" customHeight="1" hidden="1">
      <c r="A43" s="71"/>
      <c r="B43" s="71"/>
      <c r="C43" s="72">
        <v>18</v>
      </c>
      <c r="D43" s="74" t="s">
        <v>471</v>
      </c>
      <c r="E43" s="74" t="s">
        <v>60</v>
      </c>
      <c r="F43" s="75" t="s">
        <v>332</v>
      </c>
      <c r="G43" s="61">
        <f>1</f>
        <v>1</v>
      </c>
      <c r="H43" s="61">
        <v>1</v>
      </c>
      <c r="I43" s="58">
        <f>G43*263.34</f>
        <v>263.34</v>
      </c>
      <c r="J43" s="61">
        <v>5912.4</v>
      </c>
      <c r="K43" s="64">
        <f t="shared" si="1"/>
        <v>0.003711690683986198</v>
      </c>
    </row>
    <row r="44" spans="1:11" ht="23.25" customHeight="1">
      <c r="A44" s="71"/>
      <c r="B44" s="71"/>
      <c r="C44" s="72">
        <v>19</v>
      </c>
      <c r="D44" s="74" t="s">
        <v>438</v>
      </c>
      <c r="E44" s="74" t="s">
        <v>60</v>
      </c>
      <c r="F44" s="75" t="s">
        <v>344</v>
      </c>
      <c r="G44" s="61">
        <f>4</f>
        <v>4</v>
      </c>
      <c r="H44" s="61">
        <v>1</v>
      </c>
      <c r="I44" s="58">
        <f>G44*139.6</f>
        <v>558.4</v>
      </c>
      <c r="J44" s="61">
        <v>5912.4</v>
      </c>
      <c r="K44" s="64">
        <f t="shared" si="1"/>
        <v>0.007870464334844281</v>
      </c>
    </row>
    <row r="45" spans="1:11" ht="12" customHeight="1">
      <c r="A45" s="71"/>
      <c r="B45" s="71"/>
      <c r="C45" s="72"/>
      <c r="D45" s="73" t="s">
        <v>333</v>
      </c>
      <c r="E45" s="74"/>
      <c r="F45" s="75"/>
      <c r="G45" s="61"/>
      <c r="H45" s="61"/>
      <c r="I45" s="83"/>
      <c r="J45" s="61"/>
      <c r="K45" s="64"/>
    </row>
    <row r="46" spans="1:11" ht="22.5" hidden="1">
      <c r="A46" s="71"/>
      <c r="B46" s="71"/>
      <c r="C46" s="72"/>
      <c r="D46" s="74" t="s">
        <v>429</v>
      </c>
      <c r="E46" s="74" t="s">
        <v>327</v>
      </c>
      <c r="F46" s="75" t="s">
        <v>136</v>
      </c>
      <c r="G46" s="61"/>
      <c r="H46" s="61"/>
      <c r="I46" s="58">
        <f>G46*19.23</f>
        <v>0</v>
      </c>
      <c r="J46" s="61">
        <v>5912.4</v>
      </c>
      <c r="K46" s="64">
        <f>I46/12/5912.4</f>
        <v>0</v>
      </c>
    </row>
    <row r="47" spans="1:11" ht="22.5" hidden="1">
      <c r="A47" s="71"/>
      <c r="B47" s="71"/>
      <c r="C47" s="72"/>
      <c r="D47" s="74" t="s">
        <v>334</v>
      </c>
      <c r="E47" s="74" t="s">
        <v>60</v>
      </c>
      <c r="F47" s="75" t="s">
        <v>136</v>
      </c>
      <c r="G47" s="61"/>
      <c r="H47" s="61"/>
      <c r="I47" s="58"/>
      <c r="J47" s="61">
        <v>5912.4</v>
      </c>
      <c r="K47" s="64">
        <f>I47/12/5912.4</f>
        <v>0</v>
      </c>
    </row>
    <row r="48" spans="1:11" ht="22.5" hidden="1">
      <c r="A48" s="71"/>
      <c r="B48" s="71"/>
      <c r="C48" s="72"/>
      <c r="D48" s="74" t="s">
        <v>335</v>
      </c>
      <c r="E48" s="74" t="s">
        <v>327</v>
      </c>
      <c r="F48" s="75" t="s">
        <v>311</v>
      </c>
      <c r="G48" s="61"/>
      <c r="H48" s="61"/>
      <c r="I48" s="58"/>
      <c r="J48" s="61">
        <v>5912.4</v>
      </c>
      <c r="K48" s="64">
        <f>I48/12/5912.4</f>
        <v>0</v>
      </c>
    </row>
    <row r="49" spans="1:11" ht="22.5">
      <c r="A49" s="71"/>
      <c r="B49" s="71"/>
      <c r="C49" s="72">
        <v>20</v>
      </c>
      <c r="D49" s="74" t="s">
        <v>422</v>
      </c>
      <c r="E49" s="74" t="s">
        <v>327</v>
      </c>
      <c r="F49" s="75" t="s">
        <v>136</v>
      </c>
      <c r="G49" s="61">
        <v>3.5</v>
      </c>
      <c r="H49" s="61">
        <v>1</v>
      </c>
      <c r="I49" s="58">
        <f>G49*183.51</f>
        <v>642.285</v>
      </c>
      <c r="J49" s="61">
        <v>5912.4</v>
      </c>
      <c r="K49" s="64">
        <f>I49/12/5912.4</f>
        <v>0.00905279581895677</v>
      </c>
    </row>
    <row r="50" spans="1:11" ht="22.5">
      <c r="A50" s="71"/>
      <c r="B50" s="71"/>
      <c r="C50" s="72">
        <v>21</v>
      </c>
      <c r="D50" s="74" t="s">
        <v>472</v>
      </c>
      <c r="E50" s="74" t="s">
        <v>327</v>
      </c>
      <c r="F50" s="75" t="s">
        <v>332</v>
      </c>
      <c r="G50" s="61">
        <v>1</v>
      </c>
      <c r="H50" s="61">
        <v>1</v>
      </c>
      <c r="I50" s="58">
        <f>G50*52199.86</f>
        <v>52199.86</v>
      </c>
      <c r="J50" s="61">
        <v>5912.4</v>
      </c>
      <c r="K50" s="64">
        <f>I50/12/5912.4</f>
        <v>0.7357398574746861</v>
      </c>
    </row>
    <row r="51" spans="1:11" ht="12" customHeight="1">
      <c r="A51" s="71"/>
      <c r="B51" s="71"/>
      <c r="C51" s="72"/>
      <c r="D51" s="73" t="s">
        <v>336</v>
      </c>
      <c r="E51" s="74"/>
      <c r="F51" s="75"/>
      <c r="G51" s="61"/>
      <c r="H51" s="61"/>
      <c r="I51" s="58"/>
      <c r="J51" s="61"/>
      <c r="K51" s="64"/>
    </row>
    <row r="52" spans="1:11" ht="21.75" customHeight="1" hidden="1">
      <c r="A52" s="71"/>
      <c r="B52" s="71"/>
      <c r="C52" s="72"/>
      <c r="D52" s="74" t="s">
        <v>337</v>
      </c>
      <c r="E52" s="74" t="s">
        <v>60</v>
      </c>
      <c r="F52" s="75" t="s">
        <v>136</v>
      </c>
      <c r="G52" s="61"/>
      <c r="H52" s="61"/>
      <c r="I52" s="58">
        <f>G52*287.3</f>
        <v>0</v>
      </c>
      <c r="J52" s="61">
        <v>5912.4</v>
      </c>
      <c r="K52" s="64">
        <f>I52/12/5912.4</f>
        <v>0</v>
      </c>
    </row>
    <row r="53" spans="1:11" ht="22.5" hidden="1">
      <c r="A53" s="71"/>
      <c r="B53" s="71"/>
      <c r="C53" s="72"/>
      <c r="D53" s="74" t="s">
        <v>338</v>
      </c>
      <c r="E53" s="74" t="s">
        <v>60</v>
      </c>
      <c r="F53" s="75" t="s">
        <v>288</v>
      </c>
      <c r="G53" s="61"/>
      <c r="H53" s="61"/>
      <c r="I53" s="58"/>
      <c r="J53" s="61">
        <v>5912.4</v>
      </c>
      <c r="K53" s="64">
        <f>I53/12/5912.4</f>
        <v>0</v>
      </c>
    </row>
    <row r="54" spans="1:11" ht="22.5" hidden="1">
      <c r="A54" s="71"/>
      <c r="B54" s="71"/>
      <c r="C54" s="72"/>
      <c r="D54" s="74" t="s">
        <v>439</v>
      </c>
      <c r="E54" s="74" t="s">
        <v>60</v>
      </c>
      <c r="F54" s="75" t="s">
        <v>136</v>
      </c>
      <c r="G54" s="61"/>
      <c r="H54" s="61"/>
      <c r="I54" s="58">
        <f>G54*29.76</f>
        <v>0</v>
      </c>
      <c r="J54" s="61">
        <v>5912.4</v>
      </c>
      <c r="K54" s="64">
        <f>I54/12/5912.4</f>
        <v>0</v>
      </c>
    </row>
    <row r="55" spans="1:11" ht="12" customHeight="1">
      <c r="A55" s="71"/>
      <c r="B55" s="71"/>
      <c r="C55" s="150" t="s">
        <v>339</v>
      </c>
      <c r="D55" s="150"/>
      <c r="E55" s="150"/>
      <c r="F55" s="150"/>
      <c r="G55" s="150"/>
      <c r="H55" s="150"/>
      <c r="I55" s="85"/>
      <c r="J55" s="61"/>
      <c r="K55" s="64"/>
    </row>
    <row r="56" spans="1:11" ht="12" customHeight="1">
      <c r="A56" s="71"/>
      <c r="B56" s="71"/>
      <c r="C56" s="72"/>
      <c r="D56" s="73" t="s">
        <v>340</v>
      </c>
      <c r="E56" s="84"/>
      <c r="F56" s="84"/>
      <c r="G56" s="84"/>
      <c r="H56" s="84"/>
      <c r="I56" s="84"/>
      <c r="J56" s="61"/>
      <c r="K56" s="64"/>
    </row>
    <row r="57" spans="1:11" ht="15.75">
      <c r="A57" s="71">
        <v>20</v>
      </c>
      <c r="B57" s="71"/>
      <c r="C57" s="72">
        <v>22</v>
      </c>
      <c r="D57" s="74" t="s">
        <v>341</v>
      </c>
      <c r="E57" s="74" t="s">
        <v>342</v>
      </c>
      <c r="F57" s="75" t="s">
        <v>332</v>
      </c>
      <c r="G57" s="61">
        <v>1</v>
      </c>
      <c r="H57" s="61">
        <v>12</v>
      </c>
      <c r="I57" s="58">
        <f>G57*H57*227.98</f>
        <v>2735.7599999999998</v>
      </c>
      <c r="J57" s="61">
        <v>5912.4</v>
      </c>
      <c r="K57" s="64">
        <f>I57/12/5912.4</f>
        <v>0.03855963737230228</v>
      </c>
    </row>
    <row r="58" spans="1:11" ht="38.25" customHeight="1">
      <c r="A58" s="148" t="s">
        <v>56</v>
      </c>
      <c r="B58" s="148"/>
      <c r="C58" s="72">
        <v>23</v>
      </c>
      <c r="D58" s="78" t="s">
        <v>470</v>
      </c>
      <c r="E58" s="74" t="s">
        <v>343</v>
      </c>
      <c r="F58" s="61" t="s">
        <v>309</v>
      </c>
      <c r="G58" s="61">
        <v>65</v>
      </c>
      <c r="H58" s="61"/>
      <c r="I58" s="58">
        <f>(107.61+538.05+5912.4)*2</f>
        <v>13116.119999999999</v>
      </c>
      <c r="J58" s="61">
        <v>5912.4</v>
      </c>
      <c r="K58" s="64">
        <f aca="true" t="shared" si="2" ref="K58:K91">I58/12/5912.4</f>
        <v>0.18486739733441582</v>
      </c>
    </row>
    <row r="59" spans="1:11" ht="24.75" customHeight="1">
      <c r="A59" s="68"/>
      <c r="B59" s="68"/>
      <c r="C59" s="72">
        <v>24</v>
      </c>
      <c r="D59" s="78" t="s">
        <v>418</v>
      </c>
      <c r="E59" s="74" t="s">
        <v>60</v>
      </c>
      <c r="F59" s="61" t="s">
        <v>309</v>
      </c>
      <c r="G59" s="61">
        <v>70</v>
      </c>
      <c r="H59" s="61">
        <v>1</v>
      </c>
      <c r="I59" s="58">
        <f>G59*24.079</f>
        <v>1685.53</v>
      </c>
      <c r="J59" s="61">
        <v>5912.4</v>
      </c>
      <c r="K59" s="64">
        <f t="shared" si="2"/>
        <v>0.023756990956859035</v>
      </c>
    </row>
    <row r="60" spans="1:11" ht="21.75" customHeight="1" hidden="1">
      <c r="A60" s="68"/>
      <c r="B60" s="68"/>
      <c r="C60" s="72"/>
      <c r="D60" s="78" t="s">
        <v>433</v>
      </c>
      <c r="E60" s="74" t="s">
        <v>60</v>
      </c>
      <c r="F60" s="61" t="s">
        <v>344</v>
      </c>
      <c r="G60" s="61"/>
      <c r="H60" s="61"/>
      <c r="I60" s="58">
        <f>G60*2090.26</f>
        <v>0</v>
      </c>
      <c r="J60" s="61">
        <v>5912.4</v>
      </c>
      <c r="K60" s="64">
        <f t="shared" si="2"/>
        <v>0</v>
      </c>
    </row>
    <row r="61" spans="1:11" ht="27" customHeight="1" hidden="1">
      <c r="A61" s="68"/>
      <c r="B61" s="68"/>
      <c r="C61" s="72"/>
      <c r="D61" s="78" t="s">
        <v>345</v>
      </c>
      <c r="E61" s="74" t="s">
        <v>60</v>
      </c>
      <c r="F61" s="61" t="s">
        <v>344</v>
      </c>
      <c r="G61" s="61"/>
      <c r="H61" s="61"/>
      <c r="I61" s="58">
        <f>G61*1191.47</f>
        <v>0</v>
      </c>
      <c r="J61" s="61">
        <v>5912.4</v>
      </c>
      <c r="K61" s="64">
        <f t="shared" si="2"/>
        <v>0</v>
      </c>
    </row>
    <row r="62" spans="1:11" ht="29.25" customHeight="1" hidden="1">
      <c r="A62" s="68"/>
      <c r="B62" s="68"/>
      <c r="C62" s="72"/>
      <c r="D62" s="78" t="s">
        <v>346</v>
      </c>
      <c r="E62" s="74" t="s">
        <v>60</v>
      </c>
      <c r="F62" s="61" t="s">
        <v>344</v>
      </c>
      <c r="G62" s="61"/>
      <c r="H62" s="61"/>
      <c r="I62" s="58">
        <f>G62*1542.93</f>
        <v>0</v>
      </c>
      <c r="J62" s="61">
        <v>5912.4</v>
      </c>
      <c r="K62" s="64">
        <f t="shared" si="2"/>
        <v>0</v>
      </c>
    </row>
    <row r="63" spans="1:11" ht="29.25" customHeight="1" hidden="1">
      <c r="A63" s="68"/>
      <c r="B63" s="68"/>
      <c r="C63" s="72"/>
      <c r="D63" s="78" t="s">
        <v>434</v>
      </c>
      <c r="E63" s="74" t="s">
        <v>60</v>
      </c>
      <c r="F63" s="61" t="s">
        <v>344</v>
      </c>
      <c r="G63" s="61"/>
      <c r="H63" s="61"/>
      <c r="I63" s="58">
        <f>G63*154.293</f>
        <v>0</v>
      </c>
      <c r="J63" s="61">
        <v>5912.4</v>
      </c>
      <c r="K63" s="64">
        <f t="shared" si="2"/>
        <v>0</v>
      </c>
    </row>
    <row r="64" spans="1:11" ht="29.25" customHeight="1" hidden="1">
      <c r="A64" s="68"/>
      <c r="B64" s="68"/>
      <c r="C64" s="72"/>
      <c r="D64" s="78" t="s">
        <v>435</v>
      </c>
      <c r="E64" s="74" t="s">
        <v>60</v>
      </c>
      <c r="F64" s="61" t="s">
        <v>344</v>
      </c>
      <c r="G64" s="61"/>
      <c r="H64" s="61"/>
      <c r="I64" s="58">
        <f>G64*748.94</f>
        <v>0</v>
      </c>
      <c r="J64" s="61">
        <v>5912.4</v>
      </c>
      <c r="K64" s="64">
        <f t="shared" si="2"/>
        <v>0</v>
      </c>
    </row>
    <row r="65" spans="1:11" ht="29.25" customHeight="1" hidden="1">
      <c r="A65" s="68"/>
      <c r="B65" s="68"/>
      <c r="C65" s="72"/>
      <c r="D65" s="78" t="s">
        <v>436</v>
      </c>
      <c r="E65" s="74" t="s">
        <v>60</v>
      </c>
      <c r="F65" s="61" t="s">
        <v>344</v>
      </c>
      <c r="G65" s="61"/>
      <c r="H65" s="61"/>
      <c r="I65" s="58">
        <f>G65*989.9</f>
        <v>0</v>
      </c>
      <c r="J65" s="61">
        <v>5912.4</v>
      </c>
      <c r="K65" s="64">
        <f t="shared" si="2"/>
        <v>0</v>
      </c>
    </row>
    <row r="66" spans="1:11" ht="29.25" customHeight="1" hidden="1">
      <c r="A66" s="68"/>
      <c r="B66" s="68"/>
      <c r="C66" s="72"/>
      <c r="D66" s="78" t="s">
        <v>347</v>
      </c>
      <c r="E66" s="74" t="s">
        <v>60</v>
      </c>
      <c r="F66" s="61" t="s">
        <v>344</v>
      </c>
      <c r="G66" s="61"/>
      <c r="H66" s="61"/>
      <c r="I66" s="58">
        <f>G66*688</f>
        <v>0</v>
      </c>
      <c r="J66" s="61">
        <v>5912.4</v>
      </c>
      <c r="K66" s="64">
        <f t="shared" si="2"/>
        <v>0</v>
      </c>
    </row>
    <row r="67" spans="1:11" ht="29.25" customHeight="1" hidden="1">
      <c r="A67" s="68"/>
      <c r="B67" s="68"/>
      <c r="C67" s="72"/>
      <c r="D67" s="78" t="s">
        <v>348</v>
      </c>
      <c r="E67" s="74" t="s">
        <v>60</v>
      </c>
      <c r="F67" s="61" t="s">
        <v>349</v>
      </c>
      <c r="G67" s="61"/>
      <c r="H67" s="61"/>
      <c r="I67" s="58">
        <f>G67*285.354</f>
        <v>0</v>
      </c>
      <c r="J67" s="61">
        <v>5912.4</v>
      </c>
      <c r="K67" s="64">
        <f t="shared" si="2"/>
        <v>0</v>
      </c>
    </row>
    <row r="68" spans="1:11" ht="29.25" customHeight="1" hidden="1">
      <c r="A68" s="68"/>
      <c r="B68" s="68"/>
      <c r="C68" s="72"/>
      <c r="D68" s="78" t="s">
        <v>350</v>
      </c>
      <c r="E68" s="74" t="s">
        <v>60</v>
      </c>
      <c r="F68" s="61" t="s">
        <v>349</v>
      </c>
      <c r="G68" s="61"/>
      <c r="H68" s="61"/>
      <c r="I68" s="58">
        <f>G68*2790.59</f>
        <v>0</v>
      </c>
      <c r="J68" s="61">
        <v>5912.4</v>
      </c>
      <c r="K68" s="64">
        <f t="shared" si="2"/>
        <v>0</v>
      </c>
    </row>
    <row r="69" spans="1:11" ht="29.25" customHeight="1" hidden="1">
      <c r="A69" s="68"/>
      <c r="B69" s="68"/>
      <c r="C69" s="72"/>
      <c r="D69" s="78" t="s">
        <v>351</v>
      </c>
      <c r="E69" s="74" t="s">
        <v>60</v>
      </c>
      <c r="F69" s="61" t="s">
        <v>349</v>
      </c>
      <c r="G69" s="61"/>
      <c r="H69" s="61"/>
      <c r="I69" s="58">
        <f>G69*1427.65</f>
        <v>0</v>
      </c>
      <c r="J69" s="61">
        <v>5912.4</v>
      </c>
      <c r="K69" s="64">
        <f t="shared" si="2"/>
        <v>0</v>
      </c>
    </row>
    <row r="70" spans="1:11" ht="24.75" customHeight="1" hidden="1">
      <c r="A70" s="68"/>
      <c r="B70" s="68"/>
      <c r="C70" s="72"/>
      <c r="D70" s="78" t="s">
        <v>352</v>
      </c>
      <c r="E70" s="74" t="s">
        <v>60</v>
      </c>
      <c r="F70" s="61" t="s">
        <v>344</v>
      </c>
      <c r="G70" s="61"/>
      <c r="H70" s="61"/>
      <c r="I70" s="58">
        <f>G70*406.37</f>
        <v>0</v>
      </c>
      <c r="J70" s="61">
        <v>5912.4</v>
      </c>
      <c r="K70" s="64">
        <f t="shared" si="2"/>
        <v>0</v>
      </c>
    </row>
    <row r="71" spans="1:11" ht="24.75" customHeight="1" hidden="1">
      <c r="A71" s="68"/>
      <c r="B71" s="68"/>
      <c r="C71" s="72"/>
      <c r="D71" s="78" t="s">
        <v>414</v>
      </c>
      <c r="E71" s="74" t="s">
        <v>60</v>
      </c>
      <c r="F71" s="61" t="s">
        <v>415</v>
      </c>
      <c r="G71" s="61"/>
      <c r="H71" s="61"/>
      <c r="I71" s="58">
        <f>G71*40.785</f>
        <v>0</v>
      </c>
      <c r="J71" s="61">
        <v>5912.4</v>
      </c>
      <c r="K71" s="64">
        <f t="shared" si="2"/>
        <v>0</v>
      </c>
    </row>
    <row r="72" spans="1:11" ht="22.5" customHeight="1" hidden="1">
      <c r="A72" s="68"/>
      <c r="B72" s="68"/>
      <c r="C72" s="72"/>
      <c r="D72" s="78" t="s">
        <v>353</v>
      </c>
      <c r="E72" s="74" t="s">
        <v>60</v>
      </c>
      <c r="F72" s="61" t="s">
        <v>332</v>
      </c>
      <c r="G72" s="61"/>
      <c r="H72" s="61"/>
      <c r="I72" s="58">
        <f>G72*470.28</f>
        <v>0</v>
      </c>
      <c r="J72" s="61">
        <v>5912.4</v>
      </c>
      <c r="K72" s="64">
        <f t="shared" si="2"/>
        <v>0</v>
      </c>
    </row>
    <row r="73" spans="1:11" ht="21" customHeight="1">
      <c r="A73" s="68"/>
      <c r="B73" s="68"/>
      <c r="C73" s="72">
        <v>25</v>
      </c>
      <c r="D73" s="78" t="s">
        <v>469</v>
      </c>
      <c r="E73" s="74" t="s">
        <v>60</v>
      </c>
      <c r="F73" s="61" t="s">
        <v>332</v>
      </c>
      <c r="G73" s="61">
        <f>2</f>
        <v>2</v>
      </c>
      <c r="H73" s="61">
        <v>1</v>
      </c>
      <c r="I73" s="58">
        <f>G73*274.83</f>
        <v>549.66</v>
      </c>
      <c r="J73" s="61">
        <v>5912.4</v>
      </c>
      <c r="K73" s="64">
        <f t="shared" si="2"/>
        <v>0.007747276909546039</v>
      </c>
    </row>
    <row r="74" spans="1:11" ht="22.5" customHeight="1" hidden="1">
      <c r="A74" s="68"/>
      <c r="B74" s="68"/>
      <c r="C74" s="72"/>
      <c r="D74" s="78" t="s">
        <v>354</v>
      </c>
      <c r="E74" s="74" t="s">
        <v>60</v>
      </c>
      <c r="F74" s="61" t="s">
        <v>332</v>
      </c>
      <c r="G74" s="61"/>
      <c r="H74" s="61"/>
      <c r="I74" s="58">
        <f>G74*254.51</f>
        <v>0</v>
      </c>
      <c r="J74" s="61">
        <v>5912.4</v>
      </c>
      <c r="K74" s="64">
        <f t="shared" si="2"/>
        <v>0</v>
      </c>
    </row>
    <row r="75" spans="1:11" ht="21" customHeight="1" hidden="1">
      <c r="A75" s="68"/>
      <c r="B75" s="68"/>
      <c r="C75" s="72"/>
      <c r="D75" s="78" t="s">
        <v>355</v>
      </c>
      <c r="E75" s="74" t="s">
        <v>60</v>
      </c>
      <c r="F75" s="61" t="s">
        <v>332</v>
      </c>
      <c r="G75" s="61"/>
      <c r="H75" s="61"/>
      <c r="I75" s="58">
        <f>G75*217.68</f>
        <v>0</v>
      </c>
      <c r="J75" s="61">
        <v>5912.4</v>
      </c>
      <c r="K75" s="64">
        <f t="shared" si="2"/>
        <v>0</v>
      </c>
    </row>
    <row r="76" spans="1:11" ht="19.5" customHeight="1" hidden="1">
      <c r="A76" s="71">
        <v>22</v>
      </c>
      <c r="B76" s="71" t="s">
        <v>58</v>
      </c>
      <c r="C76" s="72">
        <v>26</v>
      </c>
      <c r="D76" s="78" t="s">
        <v>356</v>
      </c>
      <c r="E76" s="74" t="s">
        <v>60</v>
      </c>
      <c r="F76" s="75" t="s">
        <v>332</v>
      </c>
      <c r="G76" s="61">
        <f>1</f>
        <v>1</v>
      </c>
      <c r="H76" s="61">
        <v>5</v>
      </c>
      <c r="I76" s="58">
        <f>G76*38.449*H76</f>
        <v>192.245</v>
      </c>
      <c r="J76" s="61">
        <v>5912.4</v>
      </c>
      <c r="K76" s="64">
        <f t="shared" si="2"/>
        <v>0.002709630043073315</v>
      </c>
    </row>
    <row r="77" spans="1:11" ht="22.5" customHeight="1">
      <c r="A77" s="71"/>
      <c r="B77" s="71"/>
      <c r="C77" s="72">
        <v>27</v>
      </c>
      <c r="D77" s="78" t="s">
        <v>468</v>
      </c>
      <c r="E77" s="74" t="s">
        <v>158</v>
      </c>
      <c r="F77" s="75" t="s">
        <v>111</v>
      </c>
      <c r="G77" s="61">
        <v>2</v>
      </c>
      <c r="H77" s="61">
        <v>1</v>
      </c>
      <c r="I77" s="128">
        <f>G77*368.98</f>
        <v>737.96</v>
      </c>
      <c r="J77" s="61">
        <v>5912.4</v>
      </c>
      <c r="K77" s="64">
        <f t="shared" si="2"/>
        <v>0.010401303475182104</v>
      </c>
    </row>
    <row r="78" spans="1:11" ht="22.5" hidden="1">
      <c r="A78" s="71"/>
      <c r="B78" s="71"/>
      <c r="C78" s="72">
        <v>28</v>
      </c>
      <c r="D78" s="78" t="s">
        <v>423</v>
      </c>
      <c r="E78" s="78" t="s">
        <v>68</v>
      </c>
      <c r="F78" s="75" t="s">
        <v>111</v>
      </c>
      <c r="G78" s="61"/>
      <c r="H78" s="61"/>
      <c r="I78" s="58">
        <f>G78*H78*878.68</f>
        <v>0</v>
      </c>
      <c r="J78" s="61">
        <v>5912.4</v>
      </c>
      <c r="K78" s="64">
        <f t="shared" si="2"/>
        <v>0</v>
      </c>
    </row>
    <row r="79" spans="1:11" ht="22.5">
      <c r="A79" s="71"/>
      <c r="B79" s="71"/>
      <c r="C79" s="72">
        <v>28</v>
      </c>
      <c r="D79" s="78" t="s">
        <v>460</v>
      </c>
      <c r="E79" s="78" t="s">
        <v>68</v>
      </c>
      <c r="F79" s="75" t="s">
        <v>332</v>
      </c>
      <c r="G79" s="61">
        <f>5</f>
        <v>5</v>
      </c>
      <c r="H79" s="61">
        <v>1</v>
      </c>
      <c r="I79" s="58">
        <f>G79*366.29</f>
        <v>1831.45</v>
      </c>
      <c r="J79" s="61">
        <v>5912.4</v>
      </c>
      <c r="K79" s="64">
        <f t="shared" si="2"/>
        <v>0.0258136853618384</v>
      </c>
    </row>
    <row r="80" spans="1:11" ht="22.5">
      <c r="A80" s="71"/>
      <c r="B80" s="71"/>
      <c r="C80" s="72">
        <v>29</v>
      </c>
      <c r="D80" s="78" t="s">
        <v>461</v>
      </c>
      <c r="E80" s="78" t="s">
        <v>68</v>
      </c>
      <c r="F80" s="75" t="s">
        <v>111</v>
      </c>
      <c r="G80" s="61">
        <f>2</f>
        <v>2</v>
      </c>
      <c r="H80" s="61">
        <v>1</v>
      </c>
      <c r="I80" s="58">
        <f>G80*466.3</f>
        <v>932.6</v>
      </c>
      <c r="J80" s="61">
        <v>5912.4</v>
      </c>
      <c r="K80" s="64">
        <f t="shared" si="2"/>
        <v>0.013144690255508198</v>
      </c>
    </row>
    <row r="81" spans="1:11" ht="22.5" hidden="1">
      <c r="A81" s="71"/>
      <c r="B81" s="71"/>
      <c r="C81" s="72"/>
      <c r="D81" s="78" t="s">
        <v>440</v>
      </c>
      <c r="E81" s="78" t="s">
        <v>68</v>
      </c>
      <c r="F81" s="75" t="s">
        <v>332</v>
      </c>
      <c r="G81" s="61"/>
      <c r="H81" s="61"/>
      <c r="I81" s="58">
        <f>G81*148.93</f>
        <v>0</v>
      </c>
      <c r="J81" s="61">
        <v>5912.4</v>
      </c>
      <c r="K81" s="64">
        <f t="shared" si="2"/>
        <v>0</v>
      </c>
    </row>
    <row r="82" spans="1:11" ht="22.5" hidden="1">
      <c r="A82" s="71"/>
      <c r="B82" s="71"/>
      <c r="C82" s="72">
        <v>29</v>
      </c>
      <c r="D82" s="78" t="s">
        <v>357</v>
      </c>
      <c r="E82" s="74" t="s">
        <v>60</v>
      </c>
      <c r="F82" s="75" t="s">
        <v>344</v>
      </c>
      <c r="G82" s="61"/>
      <c r="H82" s="61"/>
      <c r="I82" s="58">
        <f>G82*642.27</f>
        <v>0</v>
      </c>
      <c r="J82" s="61">
        <v>5912.4</v>
      </c>
      <c r="K82" s="64">
        <f t="shared" si="2"/>
        <v>0</v>
      </c>
    </row>
    <row r="83" spans="1:11" ht="22.5" hidden="1">
      <c r="A83" s="71"/>
      <c r="B83" s="71"/>
      <c r="C83" s="72"/>
      <c r="D83" s="78" t="s">
        <v>437</v>
      </c>
      <c r="E83" s="74" t="s">
        <v>60</v>
      </c>
      <c r="F83" s="75" t="s">
        <v>332</v>
      </c>
      <c r="G83" s="61"/>
      <c r="H83" s="61"/>
      <c r="I83" s="58">
        <f>G83*1200</f>
        <v>0</v>
      </c>
      <c r="J83" s="61">
        <v>5912.4</v>
      </c>
      <c r="K83" s="64">
        <f t="shared" si="2"/>
        <v>0</v>
      </c>
    </row>
    <row r="84" spans="1:11" ht="22.5">
      <c r="A84" s="71"/>
      <c r="B84" s="71"/>
      <c r="C84" s="72">
        <v>30</v>
      </c>
      <c r="D84" s="78" t="s">
        <v>358</v>
      </c>
      <c r="E84" s="74" t="s">
        <v>60</v>
      </c>
      <c r="F84" s="75" t="s">
        <v>344</v>
      </c>
      <c r="G84" s="61">
        <v>45</v>
      </c>
      <c r="H84" s="61">
        <v>1</v>
      </c>
      <c r="I84" s="58">
        <f>G84*150.28</f>
        <v>6762.6</v>
      </c>
      <c r="J84" s="61">
        <v>5912.4</v>
      </c>
      <c r="K84" s="64">
        <f t="shared" si="2"/>
        <v>0.09531662269129289</v>
      </c>
    </row>
    <row r="85" spans="1:11" ht="19.5" customHeight="1">
      <c r="A85" s="71">
        <v>66</v>
      </c>
      <c r="B85" s="71" t="s">
        <v>82</v>
      </c>
      <c r="C85" s="72">
        <v>31</v>
      </c>
      <c r="D85" s="78" t="s">
        <v>100</v>
      </c>
      <c r="E85" s="78" t="s">
        <v>68</v>
      </c>
      <c r="F85" s="75" t="s">
        <v>344</v>
      </c>
      <c r="G85" s="61">
        <v>200</v>
      </c>
      <c r="H85" s="61">
        <v>25</v>
      </c>
      <c r="I85" s="58">
        <f>G85*80.28</f>
        <v>16056</v>
      </c>
      <c r="J85" s="61">
        <v>5912.4</v>
      </c>
      <c r="K85" s="64">
        <f t="shared" si="2"/>
        <v>0.22630403896894663</v>
      </c>
    </row>
    <row r="86" spans="1:11" ht="15" customHeight="1">
      <c r="A86" s="71">
        <v>73</v>
      </c>
      <c r="B86" s="71" t="s">
        <v>86</v>
      </c>
      <c r="C86" s="72">
        <v>32</v>
      </c>
      <c r="D86" s="78" t="s">
        <v>359</v>
      </c>
      <c r="E86" s="78" t="s">
        <v>23</v>
      </c>
      <c r="F86" s="75" t="s">
        <v>360</v>
      </c>
      <c r="G86" s="61">
        <v>20103.6</v>
      </c>
      <c r="H86" s="61">
        <v>1</v>
      </c>
      <c r="I86" s="58">
        <f>G86*H86*0.56</f>
        <v>11258.016</v>
      </c>
      <c r="J86" s="61">
        <v>5912.4</v>
      </c>
      <c r="K86" s="64">
        <f t="shared" si="2"/>
        <v>0.15867803260943103</v>
      </c>
    </row>
    <row r="87" spans="1:11" ht="21.75" customHeight="1">
      <c r="A87" s="71">
        <v>84</v>
      </c>
      <c r="B87" s="71" t="s">
        <v>91</v>
      </c>
      <c r="C87" s="72">
        <v>33</v>
      </c>
      <c r="D87" s="78" t="s">
        <v>466</v>
      </c>
      <c r="E87" s="78" t="s">
        <v>68</v>
      </c>
      <c r="F87" s="75" t="s">
        <v>74</v>
      </c>
      <c r="G87" s="61">
        <f>4+3</f>
        <v>7</v>
      </c>
      <c r="H87" s="61">
        <v>5</v>
      </c>
      <c r="I87" s="61">
        <f>G87*80.87*H87</f>
        <v>2830.4500000000003</v>
      </c>
      <c r="J87" s="61">
        <v>5912.4</v>
      </c>
      <c r="K87" s="64">
        <f t="shared" si="2"/>
        <v>0.03989426177750717</v>
      </c>
    </row>
    <row r="88" spans="1:11" ht="12.75" customHeight="1">
      <c r="A88" s="71">
        <v>87</v>
      </c>
      <c r="B88" s="71" t="s">
        <v>93</v>
      </c>
      <c r="C88" s="72">
        <v>34</v>
      </c>
      <c r="D88" s="78" t="s">
        <v>94</v>
      </c>
      <c r="E88" s="78" t="s">
        <v>23</v>
      </c>
      <c r="F88" s="75" t="s">
        <v>95</v>
      </c>
      <c r="G88" s="61">
        <v>2</v>
      </c>
      <c r="H88" s="61">
        <v>1</v>
      </c>
      <c r="I88" s="130">
        <f>G88*H88*21.05*100</f>
        <v>4210</v>
      </c>
      <c r="J88" s="61">
        <v>5912.4</v>
      </c>
      <c r="K88" s="64">
        <f t="shared" si="2"/>
        <v>0.059338565275240736</v>
      </c>
    </row>
    <row r="89" spans="1:11" ht="24" customHeight="1">
      <c r="A89" s="71"/>
      <c r="B89" s="71"/>
      <c r="C89" s="72">
        <v>35</v>
      </c>
      <c r="D89" s="78" t="s">
        <v>473</v>
      </c>
      <c r="E89" s="74" t="s">
        <v>158</v>
      </c>
      <c r="F89" s="75" t="s">
        <v>361</v>
      </c>
      <c r="G89" s="61">
        <v>1</v>
      </c>
      <c r="H89" s="61">
        <v>1</v>
      </c>
      <c r="I89" s="129">
        <f>G89*129515</f>
        <v>129515</v>
      </c>
      <c r="J89" s="61">
        <v>5912.4</v>
      </c>
      <c r="K89" s="64">
        <f t="shared" si="2"/>
        <v>1.825471325801141</v>
      </c>
    </row>
    <row r="90" spans="1:11" ht="24" customHeight="1">
      <c r="A90" s="71"/>
      <c r="B90" s="71"/>
      <c r="C90" s="72">
        <v>36</v>
      </c>
      <c r="D90" s="78" t="s">
        <v>414</v>
      </c>
      <c r="E90" s="74" t="s">
        <v>68</v>
      </c>
      <c r="F90" s="75" t="s">
        <v>428</v>
      </c>
      <c r="G90" s="61">
        <v>23.908</v>
      </c>
      <c r="H90" s="61">
        <v>12</v>
      </c>
      <c r="I90" s="133">
        <f>G90*0.357*1000</f>
        <v>8535.156</v>
      </c>
      <c r="J90" s="61">
        <v>5912.4</v>
      </c>
      <c r="K90" s="64">
        <f t="shared" si="2"/>
        <v>0.1203002164941479</v>
      </c>
    </row>
    <row r="91" spans="1:11" ht="20.25" customHeight="1">
      <c r="A91" s="71"/>
      <c r="B91" s="71"/>
      <c r="C91" s="72">
        <v>37</v>
      </c>
      <c r="D91" s="78" t="s">
        <v>452</v>
      </c>
      <c r="E91" s="74" t="s">
        <v>68</v>
      </c>
      <c r="F91" s="75" t="s">
        <v>111</v>
      </c>
      <c r="G91" s="61">
        <v>2</v>
      </c>
      <c r="H91" s="61">
        <v>12</v>
      </c>
      <c r="I91" s="129">
        <f>G91*H91*830.28</f>
        <v>19926.72</v>
      </c>
      <c r="J91" s="61">
        <v>5912.4</v>
      </c>
      <c r="K91" s="64">
        <f t="shared" si="2"/>
        <v>0.280860564237873</v>
      </c>
    </row>
    <row r="92" spans="1:11" ht="12" customHeight="1">
      <c r="A92" s="148" t="s">
        <v>101</v>
      </c>
      <c r="B92" s="148"/>
      <c r="C92" s="86"/>
      <c r="D92" s="151" t="s">
        <v>102</v>
      </c>
      <c r="E92" s="151"/>
      <c r="F92" s="151"/>
      <c r="G92" s="87"/>
      <c r="H92" s="87"/>
      <c r="I92" s="61"/>
      <c r="J92" s="61"/>
      <c r="K92" s="64"/>
    </row>
    <row r="93" spans="1:11" ht="21.75" customHeight="1">
      <c r="A93" s="68"/>
      <c r="B93" s="68"/>
      <c r="C93" s="86">
        <v>38</v>
      </c>
      <c r="D93" s="78" t="s">
        <v>104</v>
      </c>
      <c r="E93" s="78" t="s">
        <v>68</v>
      </c>
      <c r="F93" s="131" t="s">
        <v>332</v>
      </c>
      <c r="G93" s="61">
        <f>3+5+1+2+4+4+4+4+4+4+7+6</f>
        <v>48</v>
      </c>
      <c r="H93" s="87">
        <v>1</v>
      </c>
      <c r="I93" s="61">
        <f>G93*24.57</f>
        <v>1179.3600000000001</v>
      </c>
      <c r="J93" s="61">
        <v>5912.4</v>
      </c>
      <c r="K93" s="64">
        <f>I93/12/5912.4</f>
        <v>0.016622691292875993</v>
      </c>
    </row>
    <row r="94" spans="1:11" ht="24" customHeight="1">
      <c r="A94" s="68"/>
      <c r="B94" s="68"/>
      <c r="C94" s="86">
        <v>39</v>
      </c>
      <c r="D94" s="78" t="s">
        <v>464</v>
      </c>
      <c r="E94" s="78" t="s">
        <v>68</v>
      </c>
      <c r="F94" s="131" t="s">
        <v>332</v>
      </c>
      <c r="G94" s="61">
        <f>2+1+1+3+1+1+2+1</f>
        <v>12</v>
      </c>
      <c r="H94" s="87"/>
      <c r="I94" s="58">
        <f>G94*10.821*10</f>
        <v>1298.52</v>
      </c>
      <c r="J94" s="61">
        <v>5912.4</v>
      </c>
      <c r="K94" s="64">
        <f aca="true" t="shared" si="3" ref="K94:K107">I94/12/5912.4</f>
        <v>0.018302212299573777</v>
      </c>
    </row>
    <row r="95" spans="1:11" ht="22.5" customHeight="1">
      <c r="A95" s="68"/>
      <c r="B95" s="68"/>
      <c r="C95" s="86">
        <v>40</v>
      </c>
      <c r="D95" s="78" t="s">
        <v>362</v>
      </c>
      <c r="E95" s="78" t="s">
        <v>68</v>
      </c>
      <c r="F95" s="131" t="s">
        <v>332</v>
      </c>
      <c r="G95" s="61">
        <f>1+6</f>
        <v>7</v>
      </c>
      <c r="H95" s="87"/>
      <c r="I95" s="61">
        <f>G95*311.67</f>
        <v>2181.69</v>
      </c>
      <c r="J95" s="61">
        <v>5912.4</v>
      </c>
      <c r="K95" s="64">
        <f t="shared" si="3"/>
        <v>0.030750202963263654</v>
      </c>
    </row>
    <row r="96" spans="1:11" ht="18.75" customHeight="1">
      <c r="A96" s="68"/>
      <c r="B96" s="68"/>
      <c r="C96" s="86">
        <v>41</v>
      </c>
      <c r="D96" s="78" t="s">
        <v>363</v>
      </c>
      <c r="E96" s="78" t="s">
        <v>68</v>
      </c>
      <c r="F96" s="131" t="s">
        <v>332</v>
      </c>
      <c r="G96" s="61">
        <f>2</f>
        <v>2</v>
      </c>
      <c r="H96" s="87"/>
      <c r="I96" s="61">
        <f>G96*1065.68</f>
        <v>2131.36</v>
      </c>
      <c r="J96" s="61">
        <v>5912.4</v>
      </c>
      <c r="K96" s="64">
        <f t="shared" si="3"/>
        <v>0.03004081816746725</v>
      </c>
    </row>
    <row r="97" spans="1:11" ht="19.5" customHeight="1" hidden="1">
      <c r="A97" s="68"/>
      <c r="B97" s="68"/>
      <c r="C97" s="86"/>
      <c r="D97" s="78" t="s">
        <v>364</v>
      </c>
      <c r="E97" s="78" t="s">
        <v>68</v>
      </c>
      <c r="F97" s="131" t="s">
        <v>332</v>
      </c>
      <c r="G97" s="61"/>
      <c r="H97" s="87"/>
      <c r="I97" s="61">
        <f>G97*531.39</f>
        <v>0</v>
      </c>
      <c r="J97" s="61">
        <v>5912.4</v>
      </c>
      <c r="K97" s="64">
        <f t="shared" si="3"/>
        <v>0</v>
      </c>
    </row>
    <row r="98" spans="1:11" ht="20.25" customHeight="1" hidden="1">
      <c r="A98" s="68"/>
      <c r="B98" s="68"/>
      <c r="C98" s="86"/>
      <c r="D98" s="78" t="s">
        <v>421</v>
      </c>
      <c r="E98" s="78" t="s">
        <v>68</v>
      </c>
      <c r="F98" s="131" t="s">
        <v>332</v>
      </c>
      <c r="G98" s="61"/>
      <c r="H98" s="87"/>
      <c r="I98" s="61">
        <f>G98*94.62</f>
        <v>0</v>
      </c>
      <c r="J98" s="61">
        <v>5912.4</v>
      </c>
      <c r="K98" s="64">
        <f t="shared" si="3"/>
        <v>0</v>
      </c>
    </row>
    <row r="99" spans="1:11" ht="20.25" customHeight="1" hidden="1">
      <c r="A99" s="71">
        <v>712</v>
      </c>
      <c r="B99" s="71" t="s">
        <v>103</v>
      </c>
      <c r="C99" s="72">
        <v>35</v>
      </c>
      <c r="D99" s="74" t="s">
        <v>365</v>
      </c>
      <c r="E99" s="78" t="s">
        <v>68</v>
      </c>
      <c r="F99" s="131" t="s">
        <v>332</v>
      </c>
      <c r="G99" s="61"/>
      <c r="H99" s="61"/>
      <c r="I99" s="61">
        <f>G99*66.57</f>
        <v>0</v>
      </c>
      <c r="J99" s="61">
        <v>5912.4</v>
      </c>
      <c r="K99" s="64">
        <f t="shared" si="3"/>
        <v>0</v>
      </c>
    </row>
    <row r="100" spans="1:11" ht="24" customHeight="1" hidden="1">
      <c r="A100" s="71"/>
      <c r="B100" s="71"/>
      <c r="C100" s="72"/>
      <c r="D100" s="74" t="s">
        <v>366</v>
      </c>
      <c r="E100" s="78" t="s">
        <v>68</v>
      </c>
      <c r="F100" s="131" t="s">
        <v>332</v>
      </c>
      <c r="G100" s="61"/>
      <c r="H100" s="61"/>
      <c r="I100" s="58">
        <f>G100*350.16</f>
        <v>0</v>
      </c>
      <c r="J100" s="61">
        <v>5912.4</v>
      </c>
      <c r="K100" s="64">
        <f t="shared" si="3"/>
        <v>0</v>
      </c>
    </row>
    <row r="101" spans="1:11" ht="19.5" customHeight="1">
      <c r="A101" s="71"/>
      <c r="B101" s="71"/>
      <c r="C101" s="72">
        <v>42</v>
      </c>
      <c r="D101" s="74" t="s">
        <v>459</v>
      </c>
      <c r="E101" s="78" t="s">
        <v>68</v>
      </c>
      <c r="F101" s="131" t="s">
        <v>332</v>
      </c>
      <c r="G101" s="61">
        <f>1+1+1+1</f>
        <v>4</v>
      </c>
      <c r="H101" s="61"/>
      <c r="I101" s="58">
        <f>G101*154</f>
        <v>616</v>
      </c>
      <c r="J101" s="61">
        <v>5912.4</v>
      </c>
      <c r="K101" s="64">
        <f t="shared" si="3"/>
        <v>0.008682317389441401</v>
      </c>
    </row>
    <row r="102" spans="1:11" ht="12" customHeight="1">
      <c r="A102" s="71"/>
      <c r="B102" s="71"/>
      <c r="C102" s="72">
        <v>43</v>
      </c>
      <c r="D102" s="74" t="s">
        <v>367</v>
      </c>
      <c r="E102" s="78" t="s">
        <v>123</v>
      </c>
      <c r="F102" s="75" t="s">
        <v>111</v>
      </c>
      <c r="G102" s="61">
        <v>15</v>
      </c>
      <c r="H102" s="61"/>
      <c r="I102" s="58">
        <f>G102*223.84</f>
        <v>3357.6</v>
      </c>
      <c r="J102" s="61">
        <v>5912.4</v>
      </c>
      <c r="K102" s="64">
        <f t="shared" si="3"/>
        <v>0.04732426764089034</v>
      </c>
    </row>
    <row r="103" spans="1:11" ht="22.5">
      <c r="A103" s="71"/>
      <c r="B103" s="71"/>
      <c r="C103" s="72">
        <v>44</v>
      </c>
      <c r="D103" s="74" t="s">
        <v>368</v>
      </c>
      <c r="E103" s="78" t="s">
        <v>68</v>
      </c>
      <c r="F103" s="75" t="s">
        <v>111</v>
      </c>
      <c r="G103" s="61">
        <v>6</v>
      </c>
      <c r="H103" s="61"/>
      <c r="I103" s="58">
        <f>G103*1128.79</f>
        <v>6772.74</v>
      </c>
      <c r="J103" s="61">
        <v>5912.4</v>
      </c>
      <c r="K103" s="64">
        <f t="shared" si="3"/>
        <v>0.09545954265611258</v>
      </c>
    </row>
    <row r="104" spans="1:11" ht="12.75" customHeight="1">
      <c r="A104" s="71">
        <v>730</v>
      </c>
      <c r="B104" s="71" t="s">
        <v>109</v>
      </c>
      <c r="C104" s="72">
        <v>45</v>
      </c>
      <c r="D104" s="74" t="s">
        <v>110</v>
      </c>
      <c r="E104" s="74" t="s">
        <v>21</v>
      </c>
      <c r="F104" s="75" t="s">
        <v>111</v>
      </c>
      <c r="G104" s="61">
        <v>1</v>
      </c>
      <c r="H104" s="61">
        <v>12</v>
      </c>
      <c r="I104" s="58">
        <f>G104*94.57*H104</f>
        <v>1134.84</v>
      </c>
      <c r="J104" s="61">
        <v>5912.4</v>
      </c>
      <c r="K104" s="64">
        <f t="shared" si="3"/>
        <v>0.015995196536093634</v>
      </c>
    </row>
    <row r="105" spans="1:11" ht="22.5" customHeight="1">
      <c r="A105" s="71"/>
      <c r="B105" s="71"/>
      <c r="C105" s="72">
        <v>46</v>
      </c>
      <c r="D105" s="74" t="s">
        <v>369</v>
      </c>
      <c r="E105" s="74" t="s">
        <v>158</v>
      </c>
      <c r="F105" s="75" t="s">
        <v>111</v>
      </c>
      <c r="G105" s="61">
        <v>2</v>
      </c>
      <c r="H105" s="61"/>
      <c r="I105" s="58">
        <f>G105*244</f>
        <v>488</v>
      </c>
      <c r="J105" s="61">
        <v>5912.4</v>
      </c>
      <c r="K105" s="64">
        <f t="shared" si="3"/>
        <v>0.006878199490336694</v>
      </c>
    </row>
    <row r="106" spans="1:11" ht="22.5">
      <c r="A106" s="71"/>
      <c r="B106" s="71"/>
      <c r="C106" s="72">
        <v>47</v>
      </c>
      <c r="D106" s="74" t="s">
        <v>370</v>
      </c>
      <c r="E106" s="74" t="s">
        <v>158</v>
      </c>
      <c r="F106" s="75" t="s">
        <v>344</v>
      </c>
      <c r="G106" s="61">
        <f>3+5+15+0.6</f>
        <v>23.6</v>
      </c>
      <c r="H106" s="61">
        <v>4</v>
      </c>
      <c r="I106" s="58">
        <f>G106*256.11</f>
        <v>6044.196000000001</v>
      </c>
      <c r="J106" s="61">
        <v>5912.4</v>
      </c>
      <c r="K106" s="64">
        <f t="shared" si="3"/>
        <v>0.08519095460388337</v>
      </c>
    </row>
    <row r="107" spans="1:11" ht="45">
      <c r="A107" s="71"/>
      <c r="B107" s="71"/>
      <c r="C107" s="72">
        <v>48</v>
      </c>
      <c r="D107" s="74" t="s">
        <v>371</v>
      </c>
      <c r="E107" s="78" t="s">
        <v>343</v>
      </c>
      <c r="F107" s="75" t="s">
        <v>111</v>
      </c>
      <c r="G107" s="61">
        <v>1</v>
      </c>
      <c r="H107" s="61">
        <v>3</v>
      </c>
      <c r="I107" s="58">
        <f>G107*578.835*H107</f>
        <v>1736.505</v>
      </c>
      <c r="J107" s="61">
        <v>5912.4</v>
      </c>
      <c r="K107" s="64">
        <f t="shared" si="3"/>
        <v>0.024475466815506396</v>
      </c>
    </row>
    <row r="108" spans="1:11" ht="12" customHeight="1">
      <c r="A108" s="148" t="s">
        <v>112</v>
      </c>
      <c r="B108" s="148"/>
      <c r="C108" s="149" t="s">
        <v>113</v>
      </c>
      <c r="D108" s="149"/>
      <c r="E108" s="149"/>
      <c r="F108" s="149"/>
      <c r="G108" s="149"/>
      <c r="H108" s="149"/>
      <c r="I108" s="70"/>
      <c r="J108" s="61"/>
      <c r="K108" s="64"/>
    </row>
    <row r="109" spans="1:11" ht="22.5">
      <c r="A109" s="68"/>
      <c r="B109" s="77"/>
      <c r="C109" s="61">
        <v>49</v>
      </c>
      <c r="D109" s="78" t="s">
        <v>372</v>
      </c>
      <c r="E109" s="78" t="s">
        <v>116</v>
      </c>
      <c r="F109" s="61" t="s">
        <v>142</v>
      </c>
      <c r="G109" s="88">
        <v>0.7654</v>
      </c>
      <c r="H109" s="89">
        <v>4</v>
      </c>
      <c r="I109" s="58">
        <f>1.75036*G109*H109*1000</f>
        <v>5358.902176</v>
      </c>
      <c r="J109" s="61">
        <v>5912.4</v>
      </c>
      <c r="K109" s="64">
        <f aca="true" t="shared" si="4" ref="K109:K114">I109/12/5912.4</f>
        <v>0.07553196355681845</v>
      </c>
    </row>
    <row r="110" spans="1:11" ht="22.5" customHeight="1">
      <c r="A110" s="71">
        <v>90</v>
      </c>
      <c r="B110" s="71" t="s">
        <v>114</v>
      </c>
      <c r="C110" s="72">
        <v>50</v>
      </c>
      <c r="D110" s="74" t="s">
        <v>115</v>
      </c>
      <c r="E110" s="74" t="s">
        <v>116</v>
      </c>
      <c r="F110" s="75" t="s">
        <v>117</v>
      </c>
      <c r="G110" s="61">
        <v>0.3</v>
      </c>
      <c r="H110" s="61">
        <v>4</v>
      </c>
      <c r="I110" s="58">
        <f>G110*H110*43.764*100</f>
        <v>5251.68</v>
      </c>
      <c r="J110" s="61">
        <v>5912.4</v>
      </c>
      <c r="K110" s="64">
        <f t="shared" si="4"/>
        <v>0.07402070225289224</v>
      </c>
    </row>
    <row r="111" spans="1:11" ht="23.25" customHeight="1">
      <c r="A111" s="71"/>
      <c r="B111" s="71"/>
      <c r="C111" s="61">
        <v>51</v>
      </c>
      <c r="D111" s="74" t="s">
        <v>373</v>
      </c>
      <c r="E111" s="74" t="s">
        <v>116</v>
      </c>
      <c r="F111" s="75" t="s">
        <v>374</v>
      </c>
      <c r="G111" s="61">
        <v>0.7654</v>
      </c>
      <c r="H111" s="61">
        <v>4</v>
      </c>
      <c r="I111" s="58">
        <f>G111*H111*245.06</f>
        <v>750.2756959999999</v>
      </c>
      <c r="J111" s="61">
        <v>5912.4</v>
      </c>
      <c r="K111" s="64">
        <f t="shared" si="4"/>
        <v>0.010574889159506573</v>
      </c>
    </row>
    <row r="112" spans="1:11" ht="12" customHeight="1" hidden="1">
      <c r="A112" s="71">
        <v>92</v>
      </c>
      <c r="B112" s="71" t="s">
        <v>118</v>
      </c>
      <c r="C112" s="72">
        <v>52</v>
      </c>
      <c r="D112" s="74" t="s">
        <v>119</v>
      </c>
      <c r="E112" s="74" t="s">
        <v>116</v>
      </c>
      <c r="F112" s="75" t="s">
        <v>120</v>
      </c>
      <c r="G112" s="61">
        <v>0.02</v>
      </c>
      <c r="H112" s="61">
        <v>4</v>
      </c>
      <c r="I112" s="58">
        <f>2.3866*G112*H112*100</f>
        <v>19.0928</v>
      </c>
      <c r="J112" s="61">
        <v>5912.4</v>
      </c>
      <c r="K112" s="64">
        <f t="shared" si="4"/>
        <v>0.0002691067361252058</v>
      </c>
    </row>
    <row r="113" spans="1:11" ht="12.75" customHeight="1">
      <c r="A113" s="71"/>
      <c r="B113" s="71"/>
      <c r="C113" s="61">
        <v>53</v>
      </c>
      <c r="D113" s="74" t="s">
        <v>375</v>
      </c>
      <c r="E113" s="74" t="s">
        <v>123</v>
      </c>
      <c r="F113" s="75" t="s">
        <v>136</v>
      </c>
      <c r="G113" s="61">
        <v>1809</v>
      </c>
      <c r="H113" s="61">
        <v>2</v>
      </c>
      <c r="I113" s="58">
        <f>G113*0.43764*H113</f>
        <v>1583.38152</v>
      </c>
      <c r="J113" s="61">
        <v>5912.4</v>
      </c>
      <c r="K113" s="64">
        <f t="shared" si="4"/>
        <v>0.022317241729247005</v>
      </c>
    </row>
    <row r="114" spans="1:11" ht="19.5" customHeight="1">
      <c r="A114" s="71"/>
      <c r="B114" s="71"/>
      <c r="C114" s="72">
        <v>54</v>
      </c>
      <c r="D114" s="74" t="s">
        <v>376</v>
      </c>
      <c r="E114" s="74" t="s">
        <v>377</v>
      </c>
      <c r="F114" s="75" t="s">
        <v>142</v>
      </c>
      <c r="G114" s="64">
        <v>5.9124</v>
      </c>
      <c r="H114" s="58">
        <v>2</v>
      </c>
      <c r="I114" s="58">
        <f>G114*2300</f>
        <v>13598.52</v>
      </c>
      <c r="J114" s="61">
        <v>5912.4</v>
      </c>
      <c r="K114" s="64">
        <f t="shared" si="4"/>
        <v>0.19166666666666668</v>
      </c>
    </row>
    <row r="115" spans="1:11" ht="12" customHeight="1">
      <c r="A115" s="148" t="s">
        <v>126</v>
      </c>
      <c r="B115" s="148"/>
      <c r="C115" s="149" t="s">
        <v>127</v>
      </c>
      <c r="D115" s="149"/>
      <c r="E115" s="149"/>
      <c r="F115" s="149"/>
      <c r="G115" s="149"/>
      <c r="H115" s="149"/>
      <c r="I115" s="70"/>
      <c r="J115" s="61"/>
      <c r="K115" s="64"/>
    </row>
    <row r="116" spans="1:11" ht="11.25" customHeight="1">
      <c r="A116" s="71"/>
      <c r="B116" s="71"/>
      <c r="C116" s="72">
        <v>55</v>
      </c>
      <c r="D116" s="74" t="s">
        <v>430</v>
      </c>
      <c r="E116" s="74" t="s">
        <v>130</v>
      </c>
      <c r="F116" s="75" t="s">
        <v>136</v>
      </c>
      <c r="G116" s="61">
        <v>327</v>
      </c>
      <c r="H116" s="61">
        <v>144</v>
      </c>
      <c r="I116" s="58">
        <f>1.58*G116*H116</f>
        <v>74399.04</v>
      </c>
      <c r="J116" s="61">
        <v>5912.4</v>
      </c>
      <c r="K116" s="64">
        <f>I116/12/5912.4</f>
        <v>1.0486299979703673</v>
      </c>
    </row>
    <row r="117" spans="1:11" ht="10.5" customHeight="1">
      <c r="A117" s="71"/>
      <c r="B117" s="71"/>
      <c r="C117" s="72">
        <v>56</v>
      </c>
      <c r="D117" s="74" t="s">
        <v>409</v>
      </c>
      <c r="E117" s="74" t="s">
        <v>317</v>
      </c>
      <c r="F117" s="75" t="s">
        <v>136</v>
      </c>
      <c r="G117" s="61"/>
      <c r="H117" s="61"/>
      <c r="I117" s="58">
        <f>G117*H117*1.21</f>
        <v>0</v>
      </c>
      <c r="J117" s="61">
        <v>5912.4</v>
      </c>
      <c r="K117" s="64">
        <f>I117/12/5912.4</f>
        <v>0</v>
      </c>
    </row>
    <row r="118" spans="1:11" ht="0.75" customHeight="1" hidden="1">
      <c r="A118" s="71"/>
      <c r="B118" s="71"/>
      <c r="C118" s="72">
        <v>49</v>
      </c>
      <c r="D118" s="74" t="s">
        <v>378</v>
      </c>
      <c r="E118" s="74" t="s">
        <v>130</v>
      </c>
      <c r="F118" s="75" t="s">
        <v>136</v>
      </c>
      <c r="G118" s="61"/>
      <c r="H118" s="61">
        <v>36</v>
      </c>
      <c r="I118" s="58">
        <f>G118*H118*4.44</f>
        <v>0</v>
      </c>
      <c r="J118" s="61">
        <v>5912.4</v>
      </c>
      <c r="K118" s="64">
        <f aca="true" t="shared" si="5" ref="K118:K123">I118/12/5742.7</f>
        <v>0</v>
      </c>
    </row>
    <row r="119" spans="1:11" ht="16.5" customHeight="1" hidden="1">
      <c r="A119" s="71"/>
      <c r="B119" s="71"/>
      <c r="C119" s="72"/>
      <c r="D119" s="74" t="s">
        <v>410</v>
      </c>
      <c r="E119" s="74" t="s">
        <v>411</v>
      </c>
      <c r="F119" s="75" t="s">
        <v>344</v>
      </c>
      <c r="G119" s="61"/>
      <c r="H119" s="61">
        <v>6</v>
      </c>
      <c r="I119" s="58">
        <f>G119*H119*2.26</f>
        <v>0</v>
      </c>
      <c r="J119" s="61">
        <v>5912.4</v>
      </c>
      <c r="K119" s="64">
        <f t="shared" si="5"/>
        <v>0</v>
      </c>
    </row>
    <row r="120" spans="1:11" ht="16.5" customHeight="1" hidden="1">
      <c r="A120" s="71"/>
      <c r="B120" s="71"/>
      <c r="C120" s="72"/>
      <c r="D120" s="74" t="s">
        <v>412</v>
      </c>
      <c r="E120" s="74" t="s">
        <v>317</v>
      </c>
      <c r="F120" s="75" t="s">
        <v>332</v>
      </c>
      <c r="G120" s="61"/>
      <c r="H120" s="61">
        <v>3</v>
      </c>
      <c r="I120" s="58">
        <f>G120*H120*11.125</f>
        <v>0</v>
      </c>
      <c r="J120" s="61">
        <v>5912.4</v>
      </c>
      <c r="K120" s="64">
        <f t="shared" si="5"/>
        <v>0</v>
      </c>
    </row>
    <row r="121" spans="1:11" ht="16.5" customHeight="1" hidden="1">
      <c r="A121" s="71"/>
      <c r="B121" s="71"/>
      <c r="C121" s="72"/>
      <c r="D121" s="74" t="s">
        <v>413</v>
      </c>
      <c r="E121" s="74" t="s">
        <v>317</v>
      </c>
      <c r="F121" s="75" t="s">
        <v>136</v>
      </c>
      <c r="G121" s="61"/>
      <c r="H121" s="61">
        <v>3</v>
      </c>
      <c r="I121" s="58">
        <f>G121*H121*165</f>
        <v>0</v>
      </c>
      <c r="J121" s="61">
        <v>5912.4</v>
      </c>
      <c r="K121" s="64">
        <f t="shared" si="5"/>
        <v>0</v>
      </c>
    </row>
    <row r="122" spans="1:11" ht="16.5" customHeight="1" hidden="1">
      <c r="A122" s="71"/>
      <c r="B122" s="71"/>
      <c r="C122" s="72"/>
      <c r="D122" s="74" t="s">
        <v>379</v>
      </c>
      <c r="E122" s="74" t="s">
        <v>130</v>
      </c>
      <c r="F122" s="75" t="s">
        <v>344</v>
      </c>
      <c r="G122" s="61"/>
      <c r="H122" s="61">
        <v>3</v>
      </c>
      <c r="I122" s="128">
        <f>G122*H122*95.7</f>
        <v>0</v>
      </c>
      <c r="J122" s="61">
        <v>5912.4</v>
      </c>
      <c r="K122" s="64">
        <f t="shared" si="5"/>
        <v>0</v>
      </c>
    </row>
    <row r="123" spans="1:11" ht="16.5" customHeight="1" hidden="1">
      <c r="A123" s="71"/>
      <c r="B123" s="71"/>
      <c r="C123" s="72"/>
      <c r="D123" s="74" t="s">
        <v>380</v>
      </c>
      <c r="E123" s="74" t="s">
        <v>130</v>
      </c>
      <c r="F123" s="75" t="s">
        <v>111</v>
      </c>
      <c r="G123" s="61"/>
      <c r="H123" s="61">
        <v>3</v>
      </c>
      <c r="I123" s="128">
        <f>G123*H123*95.7</f>
        <v>0</v>
      </c>
      <c r="J123" s="61">
        <v>5912.4</v>
      </c>
      <c r="K123" s="64">
        <f t="shared" si="5"/>
        <v>0</v>
      </c>
    </row>
    <row r="124" spans="1:11" ht="12" customHeight="1">
      <c r="A124" s="148" t="s">
        <v>137</v>
      </c>
      <c r="B124" s="148"/>
      <c r="C124" s="149" t="s">
        <v>138</v>
      </c>
      <c r="D124" s="149"/>
      <c r="E124" s="149"/>
      <c r="F124" s="149"/>
      <c r="G124" s="149"/>
      <c r="H124" s="149"/>
      <c r="I124" s="70"/>
      <c r="J124" s="61"/>
      <c r="K124" s="64"/>
    </row>
    <row r="125" spans="1:11" ht="19.5" customHeight="1">
      <c r="A125" s="71">
        <v>112</v>
      </c>
      <c r="B125" s="71" t="s">
        <v>139</v>
      </c>
      <c r="C125" s="72">
        <v>57</v>
      </c>
      <c r="D125" s="78" t="s">
        <v>140</v>
      </c>
      <c r="E125" s="78" t="s">
        <v>141</v>
      </c>
      <c r="F125" s="75" t="s">
        <v>142</v>
      </c>
      <c r="G125" s="61">
        <v>2.447</v>
      </c>
      <c r="H125" s="61">
        <v>45</v>
      </c>
      <c r="I125" s="58">
        <f>0.11*G125*H125*1000</f>
        <v>12112.65</v>
      </c>
      <c r="J125" s="61">
        <v>5912.4</v>
      </c>
      <c r="K125" s="64">
        <f>I125/12/5912.4</f>
        <v>0.17072381773898923</v>
      </c>
    </row>
    <row r="126" spans="1:11" ht="12" customHeight="1">
      <c r="A126" s="71">
        <v>114</v>
      </c>
      <c r="B126" s="71" t="s">
        <v>143</v>
      </c>
      <c r="C126" s="72">
        <v>58</v>
      </c>
      <c r="D126" s="74" t="s">
        <v>144</v>
      </c>
      <c r="E126" s="74" t="s">
        <v>141</v>
      </c>
      <c r="F126" s="75" t="s">
        <v>142</v>
      </c>
      <c r="G126" s="61">
        <v>4.114</v>
      </c>
      <c r="H126" s="61">
        <v>35</v>
      </c>
      <c r="I126" s="58">
        <f>0.09*G126*H126*1000</f>
        <v>12959.099999999999</v>
      </c>
      <c r="J126" s="61">
        <v>5912.4</v>
      </c>
      <c r="K126" s="64">
        <f aca="true" t="shared" si="6" ref="K126:K133">I126/12/5912.4</f>
        <v>0.18265425208037345</v>
      </c>
    </row>
    <row r="127" spans="1:11" ht="12" customHeight="1">
      <c r="A127" s="71">
        <v>121</v>
      </c>
      <c r="B127" s="71" t="s">
        <v>145</v>
      </c>
      <c r="C127" s="72">
        <v>59</v>
      </c>
      <c r="D127" s="90" t="s">
        <v>419</v>
      </c>
      <c r="E127" s="74" t="s">
        <v>130</v>
      </c>
      <c r="F127" s="75" t="s">
        <v>142</v>
      </c>
      <c r="G127" s="91">
        <v>4.114</v>
      </c>
      <c r="H127" s="58">
        <v>45</v>
      </c>
      <c r="I127" s="58">
        <f>0.08*G127*H127*1000</f>
        <v>14810.400000000001</v>
      </c>
      <c r="J127" s="61">
        <v>5912.4</v>
      </c>
      <c r="K127" s="64">
        <f t="shared" si="6"/>
        <v>0.20874771666328396</v>
      </c>
    </row>
    <row r="128" spans="1:11" ht="20.25" customHeight="1">
      <c r="A128" s="71">
        <v>122</v>
      </c>
      <c r="B128" s="71" t="s">
        <v>147</v>
      </c>
      <c r="C128" s="72">
        <v>60</v>
      </c>
      <c r="D128" s="74" t="s">
        <v>420</v>
      </c>
      <c r="E128" s="74" t="s">
        <v>381</v>
      </c>
      <c r="F128" s="75" t="s">
        <v>142</v>
      </c>
      <c r="G128" s="61">
        <v>2.594</v>
      </c>
      <c r="H128" s="61">
        <v>15</v>
      </c>
      <c r="I128" s="58">
        <f>1.06*G128*H128*1000</f>
        <v>41244.6</v>
      </c>
      <c r="J128" s="61">
        <v>5912.4</v>
      </c>
      <c r="K128" s="64">
        <f t="shared" si="6"/>
        <v>0.5813290711047967</v>
      </c>
    </row>
    <row r="129" spans="1:11" ht="11.25" customHeight="1">
      <c r="A129" s="71"/>
      <c r="B129" s="71"/>
      <c r="C129" s="72">
        <v>61</v>
      </c>
      <c r="D129" s="74" t="s">
        <v>279</v>
      </c>
      <c r="E129" s="74" t="s">
        <v>382</v>
      </c>
      <c r="F129" s="75" t="s">
        <v>136</v>
      </c>
      <c r="G129" s="61">
        <v>266.31</v>
      </c>
      <c r="H129" s="61">
        <v>65</v>
      </c>
      <c r="I129" s="58">
        <f>G129*H129*0.132</f>
        <v>2284.9398</v>
      </c>
      <c r="J129" s="61">
        <v>5912.4</v>
      </c>
      <c r="K129" s="64">
        <f t="shared" si="6"/>
        <v>0.03220547493403694</v>
      </c>
    </row>
    <row r="130" spans="1:11" ht="12" customHeight="1" hidden="1">
      <c r="A130" s="71"/>
      <c r="B130" s="71"/>
      <c r="C130" s="72">
        <v>62</v>
      </c>
      <c r="D130" s="74" t="s">
        <v>283</v>
      </c>
      <c r="E130" s="74" t="s">
        <v>123</v>
      </c>
      <c r="F130" s="75" t="s">
        <v>142</v>
      </c>
      <c r="G130" s="61"/>
      <c r="H130" s="61"/>
      <c r="I130" s="58">
        <f>1.1204*G130*H130*1000</f>
        <v>0</v>
      </c>
      <c r="J130" s="61">
        <v>5912.4</v>
      </c>
      <c r="K130" s="64">
        <f t="shared" si="6"/>
        <v>0</v>
      </c>
    </row>
    <row r="131" spans="1:11" ht="12" customHeight="1" hidden="1">
      <c r="A131" s="71"/>
      <c r="B131" s="71"/>
      <c r="C131" s="72">
        <v>63</v>
      </c>
      <c r="D131" s="74" t="s">
        <v>285</v>
      </c>
      <c r="E131" s="86" t="s">
        <v>123</v>
      </c>
      <c r="F131" s="92" t="s">
        <v>142</v>
      </c>
      <c r="G131" s="61"/>
      <c r="H131" s="61"/>
      <c r="I131" s="58">
        <f>I130*0.2</f>
        <v>0</v>
      </c>
      <c r="J131" s="61">
        <v>5912.4</v>
      </c>
      <c r="K131" s="64">
        <f t="shared" si="6"/>
        <v>0</v>
      </c>
    </row>
    <row r="132" spans="1:11" ht="12" customHeight="1">
      <c r="A132" s="71"/>
      <c r="B132" s="71"/>
      <c r="C132" s="72">
        <v>64</v>
      </c>
      <c r="D132" s="74" t="s">
        <v>383</v>
      </c>
      <c r="E132" s="86" t="s">
        <v>68</v>
      </c>
      <c r="F132" s="92" t="s">
        <v>288</v>
      </c>
      <c r="G132" s="61">
        <v>3</v>
      </c>
      <c r="H132" s="61">
        <v>12</v>
      </c>
      <c r="I132" s="58">
        <f>G132*H132*102</f>
        <v>3672</v>
      </c>
      <c r="J132" s="61">
        <v>5912.4</v>
      </c>
      <c r="K132" s="64">
        <f t="shared" si="6"/>
        <v>0.05175563223056627</v>
      </c>
    </row>
    <row r="133" spans="1:11" ht="12" customHeight="1">
      <c r="A133" s="93"/>
      <c r="B133" s="94"/>
      <c r="C133" s="72">
        <v>65</v>
      </c>
      <c r="D133" s="95" t="s">
        <v>384</v>
      </c>
      <c r="E133" s="95" t="s">
        <v>141</v>
      </c>
      <c r="F133" s="96" t="s">
        <v>142</v>
      </c>
      <c r="G133" s="61">
        <v>0.357</v>
      </c>
      <c r="H133" s="61">
        <v>12</v>
      </c>
      <c r="I133" s="58">
        <f>G133*H133*7000</f>
        <v>29988</v>
      </c>
      <c r="J133" s="61">
        <v>5912.4</v>
      </c>
      <c r="K133" s="64">
        <f t="shared" si="6"/>
        <v>0.42267099654962453</v>
      </c>
    </row>
    <row r="134" spans="1:11" ht="12" customHeight="1">
      <c r="A134" s="148"/>
      <c r="B134" s="148"/>
      <c r="C134" s="149" t="s">
        <v>151</v>
      </c>
      <c r="D134" s="149"/>
      <c r="E134" s="149"/>
      <c r="F134" s="149"/>
      <c r="G134" s="149"/>
      <c r="H134" s="149"/>
      <c r="I134" s="70"/>
      <c r="J134" s="61"/>
      <c r="K134" s="64"/>
    </row>
    <row r="135" spans="1:11" ht="23.25" customHeight="1">
      <c r="A135" s="71">
        <v>125</v>
      </c>
      <c r="B135" s="71" t="s">
        <v>152</v>
      </c>
      <c r="C135" s="72">
        <v>66</v>
      </c>
      <c r="D135" s="78" t="s">
        <v>385</v>
      </c>
      <c r="E135" s="78" t="s">
        <v>386</v>
      </c>
      <c r="F135" s="75" t="s">
        <v>142</v>
      </c>
      <c r="G135" s="61">
        <v>5.588</v>
      </c>
      <c r="H135" s="61">
        <v>110</v>
      </c>
      <c r="I135" s="58">
        <f>0.08*G135*H135*1000</f>
        <v>49174.4</v>
      </c>
      <c r="J135" s="61">
        <v>5912.4</v>
      </c>
      <c r="K135" s="64">
        <f>I135/12/5912.4</f>
        <v>0.6930969938885507</v>
      </c>
    </row>
    <row r="136" spans="1:11" ht="12" customHeight="1">
      <c r="A136" s="71">
        <v>132</v>
      </c>
      <c r="B136" s="71" t="s">
        <v>154</v>
      </c>
      <c r="C136" s="72">
        <v>67</v>
      </c>
      <c r="D136" s="78" t="s">
        <v>387</v>
      </c>
      <c r="E136" s="78" t="s">
        <v>386</v>
      </c>
      <c r="F136" s="75" t="s">
        <v>142</v>
      </c>
      <c r="G136" s="64">
        <v>5.08</v>
      </c>
      <c r="H136" s="58">
        <v>110</v>
      </c>
      <c r="I136" s="58">
        <f>G136*H136*1000*0.06</f>
        <v>33528</v>
      </c>
      <c r="J136" s="61">
        <v>5912.4</v>
      </c>
      <c r="K136" s="64">
        <f>I136/12/5912.4</f>
        <v>0.4725661321967391</v>
      </c>
    </row>
    <row r="137" spans="1:11" ht="12" customHeight="1">
      <c r="A137" s="93"/>
      <c r="B137" s="94" t="s">
        <v>156</v>
      </c>
      <c r="C137" s="72">
        <v>68</v>
      </c>
      <c r="D137" s="95" t="s">
        <v>290</v>
      </c>
      <c r="E137" s="95" t="s">
        <v>388</v>
      </c>
      <c r="F137" s="96" t="s">
        <v>142</v>
      </c>
      <c r="G137" s="64">
        <v>0.254</v>
      </c>
      <c r="H137" s="58">
        <v>45</v>
      </c>
      <c r="I137" s="58">
        <f>G137*H137*2.68*1000</f>
        <v>30632.4</v>
      </c>
      <c r="J137" s="61">
        <v>5912.4</v>
      </c>
      <c r="K137" s="64">
        <f>I137/12/5912.4</f>
        <v>0.43175360259792983</v>
      </c>
    </row>
    <row r="138" spans="1:11" ht="18.75" customHeight="1">
      <c r="A138" s="93"/>
      <c r="B138" s="94"/>
      <c r="C138" s="72">
        <v>69</v>
      </c>
      <c r="D138" s="95" t="s">
        <v>389</v>
      </c>
      <c r="E138" s="95" t="s">
        <v>68</v>
      </c>
      <c r="F138" s="96" t="s">
        <v>142</v>
      </c>
      <c r="G138" s="96">
        <v>0.25</v>
      </c>
      <c r="H138" s="96">
        <v>45</v>
      </c>
      <c r="I138" s="97">
        <f>G138*H138*1000</f>
        <v>11250</v>
      </c>
      <c r="J138" s="61">
        <v>5912.4</v>
      </c>
      <c r="K138" s="64">
        <f>I138/12/5912.4</f>
        <v>0.1585650497259996</v>
      </c>
    </row>
    <row r="139" spans="1:11" ht="12.75" customHeight="1">
      <c r="A139" s="93"/>
      <c r="B139" s="94"/>
      <c r="C139" s="72">
        <v>70</v>
      </c>
      <c r="D139" s="95" t="s">
        <v>390</v>
      </c>
      <c r="E139" s="95" t="s">
        <v>386</v>
      </c>
      <c r="F139" s="96" t="s">
        <v>142</v>
      </c>
      <c r="G139" s="61">
        <v>0.357</v>
      </c>
      <c r="H139" s="61">
        <v>12</v>
      </c>
      <c r="I139" s="58">
        <f>G139*H139*9000</f>
        <v>38556</v>
      </c>
      <c r="J139" s="61">
        <v>5912.4</v>
      </c>
      <c r="K139" s="64">
        <f>I139/12/5912.4</f>
        <v>0.5434341384209458</v>
      </c>
    </row>
    <row r="140" spans="1:11" ht="11.25" customHeight="1">
      <c r="A140" s="77"/>
      <c r="B140" s="98"/>
      <c r="C140" s="145" t="s">
        <v>297</v>
      </c>
      <c r="D140" s="145"/>
      <c r="E140" s="145"/>
      <c r="F140" s="145"/>
      <c r="G140" s="145"/>
      <c r="H140" s="145"/>
      <c r="I140" s="99"/>
      <c r="J140" s="61"/>
      <c r="K140" s="64"/>
    </row>
    <row r="141" spans="1:11" ht="15.75" hidden="1">
      <c r="A141" s="77"/>
      <c r="B141" s="98"/>
      <c r="C141" s="72">
        <v>64</v>
      </c>
      <c r="D141" s="100" t="s">
        <v>281</v>
      </c>
      <c r="E141" s="66" t="s">
        <v>123</v>
      </c>
      <c r="F141" s="61" t="s">
        <v>52</v>
      </c>
      <c r="G141" s="101"/>
      <c r="H141" s="101"/>
      <c r="I141" s="58">
        <f>3033/8.3232*G141</f>
        <v>0</v>
      </c>
      <c r="J141" s="61">
        <v>5912.4</v>
      </c>
      <c r="K141" s="64">
        <f>I141/12/5912.4</f>
        <v>0</v>
      </c>
    </row>
    <row r="142" spans="1:11" ht="22.5">
      <c r="A142" s="77"/>
      <c r="B142" s="98"/>
      <c r="C142" s="72">
        <v>71</v>
      </c>
      <c r="D142" s="66" t="s">
        <v>391</v>
      </c>
      <c r="E142" s="66" t="s">
        <v>392</v>
      </c>
      <c r="F142" s="61" t="s">
        <v>288</v>
      </c>
      <c r="G142" s="58">
        <v>0.6</v>
      </c>
      <c r="H142" s="58">
        <v>12</v>
      </c>
      <c r="I142" s="58">
        <f>G142*H142*102</f>
        <v>734.4</v>
      </c>
      <c r="J142" s="61">
        <v>5912.4</v>
      </c>
      <c r="K142" s="64">
        <f aca="true" t="shared" si="7" ref="K142:K152">I142/12/5912.4</f>
        <v>0.010351126446113253</v>
      </c>
    </row>
    <row r="143" spans="1:11" ht="22.5">
      <c r="A143" s="77"/>
      <c r="B143" s="98"/>
      <c r="C143" s="72">
        <v>72</v>
      </c>
      <c r="D143" s="66" t="s">
        <v>465</v>
      </c>
      <c r="E143" s="74" t="s">
        <v>158</v>
      </c>
      <c r="F143" s="61" t="s">
        <v>332</v>
      </c>
      <c r="G143" s="58">
        <v>2</v>
      </c>
      <c r="H143" s="58">
        <v>1</v>
      </c>
      <c r="I143" s="58">
        <f>G143*701.56</f>
        <v>1403.12</v>
      </c>
      <c r="J143" s="61">
        <v>5912.4</v>
      </c>
      <c r="K143" s="64">
        <f t="shared" si="7"/>
        <v>0.019776514895248405</v>
      </c>
    </row>
    <row r="144" spans="1:11" ht="25.5" customHeight="1">
      <c r="A144" s="77"/>
      <c r="B144" s="98"/>
      <c r="C144" s="72">
        <v>73</v>
      </c>
      <c r="D144" s="66" t="s">
        <v>467</v>
      </c>
      <c r="E144" s="66" t="s">
        <v>392</v>
      </c>
      <c r="F144" s="61" t="s">
        <v>136</v>
      </c>
      <c r="G144" s="58">
        <f>36</f>
        <v>36</v>
      </c>
      <c r="H144" s="58">
        <v>1</v>
      </c>
      <c r="I144" s="58">
        <f>G144*525.9</f>
        <v>18932.399999999998</v>
      </c>
      <c r="J144" s="61">
        <v>5912.4</v>
      </c>
      <c r="K144" s="64">
        <f t="shared" si="7"/>
        <v>0.2668459508828902</v>
      </c>
    </row>
    <row r="145" spans="1:11" ht="26.25" customHeight="1" hidden="1">
      <c r="A145" s="77"/>
      <c r="B145" s="98"/>
      <c r="C145" s="72"/>
      <c r="D145" s="66" t="s">
        <v>416</v>
      </c>
      <c r="E145" s="66" t="s">
        <v>392</v>
      </c>
      <c r="F145" s="61" t="s">
        <v>136</v>
      </c>
      <c r="G145" s="58"/>
      <c r="H145" s="58"/>
      <c r="I145" s="58">
        <f>G145*H145*820.757</f>
        <v>0</v>
      </c>
      <c r="J145" s="61">
        <v>5912.4</v>
      </c>
      <c r="K145" s="64">
        <f t="shared" si="7"/>
        <v>0</v>
      </c>
    </row>
    <row r="146" spans="1:11" ht="18.75" customHeight="1" hidden="1">
      <c r="A146" s="77"/>
      <c r="B146" s="98"/>
      <c r="C146" s="72">
        <v>67</v>
      </c>
      <c r="D146" s="66" t="s">
        <v>417</v>
      </c>
      <c r="E146" s="66" t="s">
        <v>392</v>
      </c>
      <c r="F146" s="61" t="s">
        <v>136</v>
      </c>
      <c r="G146" s="101"/>
      <c r="H146" s="58"/>
      <c r="I146" s="58">
        <f>G146*H146*373.331</f>
        <v>0</v>
      </c>
      <c r="J146" s="61">
        <v>5912.4</v>
      </c>
      <c r="K146" s="64">
        <f t="shared" si="7"/>
        <v>0</v>
      </c>
    </row>
    <row r="147" spans="1:11" ht="26.25" customHeight="1" hidden="1">
      <c r="A147" s="77"/>
      <c r="B147" s="98"/>
      <c r="C147" s="72"/>
      <c r="D147" s="66" t="s">
        <v>427</v>
      </c>
      <c r="E147" s="66" t="s">
        <v>392</v>
      </c>
      <c r="F147" s="61" t="s">
        <v>111</v>
      </c>
      <c r="G147" s="101"/>
      <c r="H147" s="58"/>
      <c r="I147" s="58">
        <f>G147*979</f>
        <v>0</v>
      </c>
      <c r="J147" s="61">
        <v>5912.4</v>
      </c>
      <c r="K147" s="64">
        <f t="shared" si="7"/>
        <v>0</v>
      </c>
    </row>
    <row r="148" spans="1:11" ht="21" customHeight="1" hidden="1">
      <c r="A148" s="77"/>
      <c r="B148" s="98"/>
      <c r="C148" s="72"/>
      <c r="D148" s="66" t="s">
        <v>424</v>
      </c>
      <c r="E148" s="66" t="s">
        <v>392</v>
      </c>
      <c r="F148" s="61" t="s">
        <v>344</v>
      </c>
      <c r="G148" s="101"/>
      <c r="H148" s="58"/>
      <c r="I148" s="58">
        <f>G148*365.11</f>
        <v>0</v>
      </c>
      <c r="J148" s="61">
        <v>5912.4</v>
      </c>
      <c r="K148" s="64">
        <f t="shared" si="7"/>
        <v>0</v>
      </c>
    </row>
    <row r="149" spans="1:11" ht="21.75" customHeight="1" hidden="1">
      <c r="A149" s="77"/>
      <c r="B149" s="98" t="s">
        <v>425</v>
      </c>
      <c r="C149" s="72"/>
      <c r="D149" s="66" t="s">
        <v>426</v>
      </c>
      <c r="E149" s="66" t="s">
        <v>392</v>
      </c>
      <c r="F149" s="61" t="s">
        <v>344</v>
      </c>
      <c r="G149" s="101"/>
      <c r="H149" s="58"/>
      <c r="I149" s="58">
        <f>G149*95.78</f>
        <v>0</v>
      </c>
      <c r="J149" s="61">
        <v>5912.4</v>
      </c>
      <c r="K149" s="64">
        <f t="shared" si="7"/>
        <v>0</v>
      </c>
    </row>
    <row r="150" spans="1:11" ht="21.75" customHeight="1">
      <c r="A150" s="77"/>
      <c r="B150" s="98"/>
      <c r="C150" s="72">
        <v>74</v>
      </c>
      <c r="D150" s="66" t="s">
        <v>454</v>
      </c>
      <c r="E150" s="66" t="s">
        <v>392</v>
      </c>
      <c r="F150" s="61" t="s">
        <v>136</v>
      </c>
      <c r="G150" s="101">
        <v>68</v>
      </c>
      <c r="H150" s="58">
        <v>1</v>
      </c>
      <c r="I150" s="58">
        <f>G150*92.58</f>
        <v>6295.44</v>
      </c>
      <c r="J150" s="61">
        <v>5912.4</v>
      </c>
      <c r="K150" s="64">
        <f t="shared" si="7"/>
        <v>0.08873215614640417</v>
      </c>
    </row>
    <row r="151" spans="1:11" ht="20.25" customHeight="1">
      <c r="A151" s="77"/>
      <c r="B151" s="98"/>
      <c r="C151" s="72">
        <v>75</v>
      </c>
      <c r="D151" s="66" t="s">
        <v>431</v>
      </c>
      <c r="E151" s="66" t="s">
        <v>392</v>
      </c>
      <c r="F151" s="61" t="s">
        <v>136</v>
      </c>
      <c r="G151" s="101">
        <v>57</v>
      </c>
      <c r="H151" s="58">
        <v>1</v>
      </c>
      <c r="I151" s="58">
        <f>G151*208.3*H151</f>
        <v>11873.1</v>
      </c>
      <c r="J151" s="61">
        <v>5912.4</v>
      </c>
      <c r="K151" s="64">
        <f t="shared" si="7"/>
        <v>0.16734743928015697</v>
      </c>
    </row>
    <row r="152" spans="1:11" ht="23.25" customHeight="1">
      <c r="A152" s="77"/>
      <c r="B152" s="98"/>
      <c r="C152" s="72">
        <v>76</v>
      </c>
      <c r="D152" s="66" t="s">
        <v>432</v>
      </c>
      <c r="E152" s="66" t="s">
        <v>392</v>
      </c>
      <c r="F152" s="61" t="s">
        <v>136</v>
      </c>
      <c r="G152" s="101">
        <v>25.2</v>
      </c>
      <c r="H152" s="58">
        <v>1</v>
      </c>
      <c r="I152" s="58">
        <f>G152*239*H152</f>
        <v>6022.8</v>
      </c>
      <c r="J152" s="61">
        <v>5912.4</v>
      </c>
      <c r="K152" s="64">
        <f t="shared" si="7"/>
        <v>0.08488938502131116</v>
      </c>
    </row>
    <row r="153" spans="1:11" s="105" customFormat="1" ht="13.5" customHeight="1">
      <c r="A153" s="102"/>
      <c r="B153" s="146" t="s">
        <v>393</v>
      </c>
      <c r="C153" s="146"/>
      <c r="D153" s="146"/>
      <c r="E153" s="66"/>
      <c r="F153" s="61"/>
      <c r="G153" s="103"/>
      <c r="H153" s="103"/>
      <c r="I153" s="58">
        <f>SUM(I6:I146)</f>
        <v>1086695.7401919998</v>
      </c>
      <c r="J153" s="58"/>
      <c r="K153" s="104">
        <f>SUM(K6:K151)</f>
        <v>15.572698624811135</v>
      </c>
    </row>
    <row r="154" spans="1:11" s="105" customFormat="1" ht="12.75">
      <c r="A154" s="102"/>
      <c r="B154" s="106"/>
      <c r="C154" s="107"/>
      <c r="D154" s="108" t="s">
        <v>394</v>
      </c>
      <c r="E154" s="66"/>
      <c r="F154" s="61"/>
      <c r="G154" s="103"/>
      <c r="H154" s="103"/>
      <c r="I154" s="103"/>
      <c r="J154" s="103"/>
      <c r="K154" s="104"/>
    </row>
    <row r="155" spans="1:11" s="105" customFormat="1" ht="12.75">
      <c r="A155" s="102"/>
      <c r="B155" s="106"/>
      <c r="C155" s="107"/>
      <c r="D155" s="108" t="s">
        <v>164</v>
      </c>
      <c r="E155" s="104"/>
      <c r="F155" s="61"/>
      <c r="G155" s="103"/>
      <c r="H155" s="103"/>
      <c r="I155" s="103"/>
      <c r="J155" s="103"/>
      <c r="K155" s="104">
        <f>K153-K156-K157-K158</f>
        <v>14.322698624811135</v>
      </c>
    </row>
    <row r="156" spans="1:11" s="105" customFormat="1" ht="12.75">
      <c r="A156" s="102"/>
      <c r="B156" s="106"/>
      <c r="C156" s="107"/>
      <c r="D156" s="109" t="s">
        <v>395</v>
      </c>
      <c r="E156" s="104"/>
      <c r="F156" s="61"/>
      <c r="G156" s="103"/>
      <c r="H156" s="103"/>
      <c r="I156" s="103"/>
      <c r="J156" s="103"/>
      <c r="K156" s="104">
        <v>1.25</v>
      </c>
    </row>
    <row r="157" spans="1:11" ht="15.75" hidden="1">
      <c r="A157" s="77"/>
      <c r="B157" s="98"/>
      <c r="C157" s="61"/>
      <c r="D157" s="66" t="s">
        <v>396</v>
      </c>
      <c r="E157" s="66"/>
      <c r="F157" s="61"/>
      <c r="G157" s="110"/>
      <c r="H157" s="110"/>
      <c r="I157" s="58"/>
      <c r="J157" s="58"/>
      <c r="K157" s="86"/>
    </row>
    <row r="158" spans="1:11" ht="15.75" hidden="1">
      <c r="A158" s="77"/>
      <c r="B158" s="98"/>
      <c r="C158" s="61"/>
      <c r="D158" s="66" t="s">
        <v>310</v>
      </c>
      <c r="E158" s="66"/>
      <c r="F158" s="61"/>
      <c r="G158" s="110"/>
      <c r="H158" s="110"/>
      <c r="I158" s="58"/>
      <c r="J158" s="58"/>
      <c r="K158" s="86"/>
    </row>
    <row r="159" spans="1:11" ht="15.75">
      <c r="A159" s="111"/>
      <c r="B159" s="112"/>
      <c r="C159" s="113"/>
      <c r="D159" s="114"/>
      <c r="E159" s="114"/>
      <c r="F159" s="113"/>
      <c r="G159" s="115"/>
      <c r="H159" s="115"/>
      <c r="I159" s="116"/>
      <c r="J159" s="116"/>
      <c r="K159" s="51"/>
    </row>
    <row r="160" spans="1:11" ht="15.75">
      <c r="A160" s="44"/>
      <c r="B160" s="3"/>
      <c r="C160" s="45"/>
      <c r="D160" s="117"/>
      <c r="E160" s="117"/>
      <c r="F160" s="45"/>
      <c r="G160" s="47"/>
      <c r="H160" s="47"/>
      <c r="I160" s="48"/>
      <c r="J160" s="48"/>
      <c r="K160" s="46"/>
    </row>
    <row r="161" spans="3:11" ht="15.75">
      <c r="C161" s="45"/>
      <c r="D161" s="117"/>
      <c r="E161" s="117"/>
      <c r="F161" s="45"/>
      <c r="G161" s="47"/>
      <c r="H161" s="47"/>
      <c r="I161" s="48"/>
      <c r="J161" s="48"/>
      <c r="K161" s="46"/>
    </row>
    <row r="162" spans="3:11" ht="15.75">
      <c r="C162" s="45"/>
      <c r="D162" s="117" t="s">
        <v>397</v>
      </c>
      <c r="E162" s="117"/>
      <c r="F162" s="45"/>
      <c r="G162" s="47"/>
      <c r="H162" s="47" t="s">
        <v>398</v>
      </c>
      <c r="I162" s="48"/>
      <c r="J162" s="48"/>
      <c r="K162" s="46"/>
    </row>
    <row r="163" spans="3:10" ht="15.75">
      <c r="C163" s="2"/>
      <c r="D163" s="118"/>
      <c r="E163" s="118"/>
      <c r="F163" s="2"/>
      <c r="G163" s="119"/>
      <c r="H163" s="119"/>
      <c r="I163" s="120"/>
      <c r="J163" s="120"/>
    </row>
    <row r="164" spans="3:10" ht="15.75">
      <c r="C164" s="2"/>
      <c r="D164" s="118"/>
      <c r="E164" s="118"/>
      <c r="F164" s="121"/>
      <c r="G164" s="119"/>
      <c r="H164" s="119"/>
      <c r="I164" s="120"/>
      <c r="J164" s="120"/>
    </row>
    <row r="165" spans="3:10" ht="15.75">
      <c r="C165" s="2"/>
      <c r="D165" s="118"/>
      <c r="E165" s="118"/>
      <c r="F165" s="2"/>
      <c r="G165" s="119"/>
      <c r="H165" s="119"/>
      <c r="I165" s="120"/>
      <c r="J165" s="120"/>
    </row>
    <row r="166" spans="3:10" ht="15.75">
      <c r="C166" s="2"/>
      <c r="D166" s="118"/>
      <c r="E166" s="118"/>
      <c r="F166" s="2"/>
      <c r="G166" s="119"/>
      <c r="H166" s="119"/>
      <c r="I166" s="120"/>
      <c r="J166" s="120"/>
    </row>
    <row r="167" spans="3:10" ht="15.75">
      <c r="C167" s="2"/>
      <c r="D167" s="118"/>
      <c r="E167" s="118"/>
      <c r="F167" s="2"/>
      <c r="G167" s="119"/>
      <c r="H167" s="119"/>
      <c r="I167" s="120"/>
      <c r="J167" s="120"/>
    </row>
    <row r="168" spans="3:10" ht="15.75">
      <c r="C168" s="2"/>
      <c r="D168" s="118"/>
      <c r="E168" s="118"/>
      <c r="F168" s="2"/>
      <c r="G168" s="119"/>
      <c r="H168" s="119"/>
      <c r="I168" s="120"/>
      <c r="J168" s="120"/>
    </row>
    <row r="169" spans="3:10" ht="15.75">
      <c r="C169" s="2"/>
      <c r="D169" s="118"/>
      <c r="E169" s="118"/>
      <c r="F169" s="2"/>
      <c r="G169" s="119"/>
      <c r="H169" s="119"/>
      <c r="I169" s="120"/>
      <c r="J169" s="120"/>
    </row>
    <row r="170" spans="3:10" ht="15.75">
      <c r="C170" s="2"/>
      <c r="D170" s="118"/>
      <c r="E170" s="118"/>
      <c r="F170" s="2"/>
      <c r="G170" s="119"/>
      <c r="H170" s="119"/>
      <c r="I170" s="120"/>
      <c r="J170" s="120"/>
    </row>
    <row r="171" spans="3:10" ht="15.75">
      <c r="C171" s="2"/>
      <c r="D171" s="118"/>
      <c r="E171" s="118"/>
      <c r="F171" s="2"/>
      <c r="G171" s="119"/>
      <c r="H171" s="119"/>
      <c r="I171" s="120"/>
      <c r="J171" s="120"/>
    </row>
    <row r="172" spans="3:10" ht="15.75">
      <c r="C172" s="2"/>
      <c r="D172" s="118"/>
      <c r="E172" s="118"/>
      <c r="F172" s="2"/>
      <c r="G172" s="119"/>
      <c r="H172" s="119"/>
      <c r="I172" s="120"/>
      <c r="J172" s="120"/>
    </row>
    <row r="173" spans="3:10" ht="15.75">
      <c r="C173" s="2"/>
      <c r="D173" s="118"/>
      <c r="E173" s="118"/>
      <c r="F173" s="2"/>
      <c r="G173" s="119"/>
      <c r="H173" s="119"/>
      <c r="I173" s="120"/>
      <c r="J173" s="120"/>
    </row>
    <row r="174" spans="3:10" ht="15.75">
      <c r="C174" s="2"/>
      <c r="D174" s="118"/>
      <c r="E174" s="118"/>
      <c r="F174" s="2"/>
      <c r="G174" s="119"/>
      <c r="H174" s="119"/>
      <c r="I174" s="120"/>
      <c r="J174" s="120"/>
    </row>
    <row r="175" spans="3:10" ht="15.75">
      <c r="C175" s="2"/>
      <c r="D175" s="118"/>
      <c r="E175" s="118"/>
      <c r="F175" s="2"/>
      <c r="G175" s="119"/>
      <c r="H175" s="119"/>
      <c r="I175" s="120"/>
      <c r="J175" s="120"/>
    </row>
    <row r="176" spans="3:10" ht="15.75">
      <c r="C176" s="2"/>
      <c r="D176" s="118"/>
      <c r="E176" s="118"/>
      <c r="F176" s="2"/>
      <c r="G176" s="119"/>
      <c r="H176" s="119"/>
      <c r="I176" s="120"/>
      <c r="J176" s="120"/>
    </row>
    <row r="177" spans="3:10" ht="15.75">
      <c r="C177" s="2"/>
      <c r="D177" s="118"/>
      <c r="E177" s="118"/>
      <c r="F177" s="2"/>
      <c r="G177" s="119"/>
      <c r="H177" s="119"/>
      <c r="I177" s="120"/>
      <c r="J177" s="120"/>
    </row>
    <row r="178" spans="3:10" ht="15.75">
      <c r="C178" s="2"/>
      <c r="D178" s="118"/>
      <c r="E178" s="118"/>
      <c r="F178" s="2"/>
      <c r="G178" s="119"/>
      <c r="H178" s="119"/>
      <c r="I178" s="120"/>
      <c r="J178" s="120"/>
    </row>
    <row r="179" spans="3:10" ht="15.75">
      <c r="C179" s="2"/>
      <c r="D179" s="118"/>
      <c r="E179" s="118"/>
      <c r="F179" s="2"/>
      <c r="G179" s="119"/>
      <c r="H179" s="119"/>
      <c r="I179" s="120"/>
      <c r="J179" s="120"/>
    </row>
    <row r="180" spans="3:10" ht="15.75">
      <c r="C180" s="2"/>
      <c r="D180" s="118"/>
      <c r="E180" s="118"/>
      <c r="F180" s="2"/>
      <c r="G180" s="119"/>
      <c r="H180" s="119"/>
      <c r="I180" s="120"/>
      <c r="J180" s="120"/>
    </row>
    <row r="181" spans="3:10" ht="15.75">
      <c r="C181" s="2"/>
      <c r="D181" s="118"/>
      <c r="E181" s="118"/>
      <c r="F181" s="2"/>
      <c r="G181" s="119"/>
      <c r="H181" s="119"/>
      <c r="I181" s="120"/>
      <c r="J181" s="120"/>
    </row>
    <row r="182" spans="3:10" ht="15.75">
      <c r="C182" s="2"/>
      <c r="D182" s="118"/>
      <c r="E182" s="118"/>
      <c r="F182" s="2"/>
      <c r="G182" s="119"/>
      <c r="H182" s="119"/>
      <c r="I182" s="120"/>
      <c r="J182" s="120"/>
    </row>
    <row r="183" spans="3:10" ht="15.75">
      <c r="C183" s="2"/>
      <c r="D183" s="118"/>
      <c r="E183" s="118"/>
      <c r="F183" s="2"/>
      <c r="G183" s="119"/>
      <c r="H183" s="119"/>
      <c r="I183" s="120"/>
      <c r="J183" s="120"/>
    </row>
    <row r="184" spans="3:10" ht="15.75">
      <c r="C184" s="2"/>
      <c r="D184" s="118"/>
      <c r="E184" s="118"/>
      <c r="F184" s="2"/>
      <c r="G184" s="119"/>
      <c r="H184" s="119"/>
      <c r="I184" s="120"/>
      <c r="J184" s="120"/>
    </row>
    <row r="185" spans="3:10" ht="15.75">
      <c r="C185" s="2"/>
      <c r="D185" s="118"/>
      <c r="E185" s="118"/>
      <c r="F185" s="2"/>
      <c r="G185" s="119"/>
      <c r="H185" s="119"/>
      <c r="I185" s="120"/>
      <c r="J185" s="120"/>
    </row>
    <row r="186" spans="3:10" ht="15.75">
      <c r="C186" s="2"/>
      <c r="D186" s="118"/>
      <c r="E186" s="118"/>
      <c r="F186" s="2"/>
      <c r="G186" s="119"/>
      <c r="H186" s="119"/>
      <c r="I186" s="120"/>
      <c r="J186" s="120"/>
    </row>
    <row r="187" spans="3:10" ht="15.75">
      <c r="C187" s="2"/>
      <c r="D187" s="118"/>
      <c r="E187" s="118"/>
      <c r="F187" s="2"/>
      <c r="G187" s="119"/>
      <c r="H187" s="119"/>
      <c r="I187" s="120"/>
      <c r="J187" s="120"/>
    </row>
    <row r="188" spans="3:10" ht="15.75">
      <c r="C188" s="2"/>
      <c r="D188" s="118"/>
      <c r="E188" s="118"/>
      <c r="F188" s="2"/>
      <c r="G188" s="119"/>
      <c r="H188" s="119"/>
      <c r="I188" s="120"/>
      <c r="J188" s="120"/>
    </row>
    <row r="189" spans="3:10" ht="15.75">
      <c r="C189" s="2"/>
      <c r="D189" s="118"/>
      <c r="E189" s="118"/>
      <c r="F189" s="2"/>
      <c r="G189" s="119"/>
      <c r="H189" s="119"/>
      <c r="I189" s="120"/>
      <c r="J189" s="120"/>
    </row>
    <row r="190" spans="3:10" ht="15.75">
      <c r="C190" s="2"/>
      <c r="D190" s="118"/>
      <c r="E190" s="118"/>
      <c r="F190" s="121"/>
      <c r="G190" s="119"/>
      <c r="H190" s="119"/>
      <c r="I190" s="120"/>
      <c r="J190" s="120"/>
    </row>
    <row r="191" spans="3:10" ht="15.75">
      <c r="C191" s="2"/>
      <c r="D191" s="118"/>
      <c r="E191" s="118"/>
      <c r="F191" s="2"/>
      <c r="G191" s="119"/>
      <c r="H191" s="119"/>
      <c r="I191" s="120"/>
      <c r="J191" s="120"/>
    </row>
    <row r="192" spans="3:10" ht="15.75">
      <c r="C192" s="2"/>
      <c r="D192" s="118"/>
      <c r="E192" s="118"/>
      <c r="F192" s="2"/>
      <c r="G192" s="119"/>
      <c r="H192" s="119"/>
      <c r="I192" s="120"/>
      <c r="J192" s="120"/>
    </row>
    <row r="193" spans="3:10" ht="15.75">
      <c r="C193" s="2"/>
      <c r="D193" s="118"/>
      <c r="E193" s="118"/>
      <c r="F193" s="2"/>
      <c r="G193" s="119"/>
      <c r="H193" s="119"/>
      <c r="I193" s="120"/>
      <c r="J193" s="120"/>
    </row>
    <row r="194" spans="3:10" ht="15.75">
      <c r="C194" s="2"/>
      <c r="D194" s="118"/>
      <c r="E194" s="118"/>
      <c r="F194" s="2"/>
      <c r="G194" s="119"/>
      <c r="H194" s="119"/>
      <c r="I194" s="120"/>
      <c r="J194" s="120"/>
    </row>
    <row r="195" spans="3:10" ht="15.75">
      <c r="C195" s="2"/>
      <c r="D195" s="118"/>
      <c r="E195" s="118"/>
      <c r="F195" s="2"/>
      <c r="G195" s="119"/>
      <c r="H195" s="119"/>
      <c r="I195" s="120"/>
      <c r="J195" s="120"/>
    </row>
    <row r="196" spans="3:10" ht="15.75">
      <c r="C196" s="2"/>
      <c r="D196" s="118"/>
      <c r="E196" s="118"/>
      <c r="F196" s="2"/>
      <c r="G196" s="119"/>
      <c r="H196" s="119"/>
      <c r="I196" s="120"/>
      <c r="J196" s="120"/>
    </row>
    <row r="204" ht="15.75">
      <c r="F204" s="122"/>
    </row>
    <row r="213" ht="15.75">
      <c r="F213" s="122"/>
    </row>
    <row r="219" ht="15.75">
      <c r="F219" s="122"/>
    </row>
    <row r="222" ht="15.75">
      <c r="F222" s="122"/>
    </row>
    <row r="225" ht="15.75">
      <c r="F225" s="123"/>
    </row>
    <row r="233" ht="15.75">
      <c r="F233" s="122"/>
    </row>
    <row r="235" ht="15.75">
      <c r="F235" s="124"/>
    </row>
    <row r="237" ht="15.75">
      <c r="F237" s="125"/>
    </row>
    <row r="238" ht="15.75">
      <c r="F238" s="125"/>
    </row>
    <row r="241" ht="15.75">
      <c r="F241" s="5"/>
    </row>
    <row r="242" ht="15.75">
      <c r="F242" s="126"/>
    </row>
    <row r="243" ht="15.75">
      <c r="F243" s="6"/>
    </row>
    <row r="244" ht="15.75">
      <c r="F244" s="6"/>
    </row>
    <row r="245" ht="15.75">
      <c r="F245" s="6"/>
    </row>
    <row r="246" ht="15.75">
      <c r="F246" s="6"/>
    </row>
    <row r="247" ht="15.75">
      <c r="F247" s="6"/>
    </row>
    <row r="248" ht="15.75">
      <c r="F248" s="6"/>
    </row>
    <row r="249" ht="15.75">
      <c r="F249" s="6"/>
    </row>
    <row r="250" ht="15.75">
      <c r="F250" s="6"/>
    </row>
    <row r="251" ht="15.75">
      <c r="F251" s="6"/>
    </row>
    <row r="252" ht="15.75">
      <c r="F252" s="6"/>
    </row>
    <row r="253" ht="15.75">
      <c r="F253" s="6"/>
    </row>
    <row r="254" ht="15.75">
      <c r="F254" s="6"/>
    </row>
    <row r="255" ht="15.75">
      <c r="F255" s="6"/>
    </row>
    <row r="256" ht="15.75">
      <c r="F256" s="6"/>
    </row>
    <row r="257" ht="15.75">
      <c r="F257" s="6"/>
    </row>
    <row r="258" ht="15.75">
      <c r="F258" s="6"/>
    </row>
    <row r="259" ht="15.75">
      <c r="F259" s="6"/>
    </row>
    <row r="260" ht="15.75">
      <c r="F260" s="6"/>
    </row>
    <row r="261" ht="15.75">
      <c r="F261" s="6"/>
    </row>
    <row r="262" ht="15.75">
      <c r="F262" s="6"/>
    </row>
    <row r="263" ht="15.75">
      <c r="F263" s="6"/>
    </row>
    <row r="264" ht="15.75">
      <c r="F264" s="6"/>
    </row>
  </sheetData>
  <sheetProtection selectLockedCells="1" selectUnlockedCells="1"/>
  <mergeCells count="19">
    <mergeCell ref="A58:B58"/>
    <mergeCell ref="A92:B92"/>
    <mergeCell ref="D92:F92"/>
    <mergeCell ref="A108:B108"/>
    <mergeCell ref="C108:H108"/>
    <mergeCell ref="C1:K1"/>
    <mergeCell ref="C5:H5"/>
    <mergeCell ref="A16:B16"/>
    <mergeCell ref="C16:H16"/>
    <mergeCell ref="C140:H140"/>
    <mergeCell ref="B153:D153"/>
    <mergeCell ref="C2:K2"/>
    <mergeCell ref="A115:B115"/>
    <mergeCell ref="C115:H115"/>
    <mergeCell ref="A124:B124"/>
    <mergeCell ref="C124:H124"/>
    <mergeCell ref="A134:B134"/>
    <mergeCell ref="C134:H134"/>
    <mergeCell ref="C55:H55"/>
  </mergeCells>
  <printOptions horizontalCentered="1"/>
  <pageMargins left="0" right="0" top="0" bottom="0" header="0.5118055555555555" footer="0.511805555555555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3"/>
  <sheetViews>
    <sheetView zoomScale="85" zoomScaleNormal="85" zoomScalePageLayoutView="0" workbookViewId="0" topLeftCell="C124">
      <selection activeCell="H141" sqref="H14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6.75390625" style="3" customWidth="1"/>
    <col min="4" max="4" width="49.875" style="4" customWidth="1"/>
    <col min="5" max="5" width="0" style="4" hidden="1" customWidth="1"/>
    <col min="6" max="6" width="11.125" style="3" customWidth="1"/>
    <col min="7" max="7" width="16.125" style="5" customWidth="1"/>
    <col min="8" max="8" width="10.75390625" style="6" customWidth="1"/>
    <col min="9" max="9" width="11.00390625" style="1" customWidth="1"/>
    <col min="10" max="16384" width="9.125" style="1" customWidth="1"/>
  </cols>
  <sheetData>
    <row r="1" spans="5:8" ht="12.75" customHeight="1">
      <c r="E1" s="155" t="s">
        <v>399</v>
      </c>
      <c r="F1" s="155"/>
      <c r="G1" s="155"/>
      <c r="H1" s="155"/>
    </row>
    <row r="2" spans="5:8" ht="12.75" customHeight="1">
      <c r="E2" s="154" t="s">
        <v>400</v>
      </c>
      <c r="F2" s="154"/>
      <c r="G2" s="154"/>
      <c r="H2" s="154"/>
    </row>
    <row r="3" spans="5:9" ht="12.75" customHeight="1">
      <c r="E3" s="154" t="s">
        <v>401</v>
      </c>
      <c r="F3" s="154"/>
      <c r="G3" s="154"/>
      <c r="H3" s="154"/>
      <c r="I3" s="154"/>
    </row>
    <row r="4" spans="5:8" ht="12.75" customHeight="1">
      <c r="E4" s="154" t="s">
        <v>402</v>
      </c>
      <c r="F4" s="154"/>
      <c r="G4" s="154"/>
      <c r="H4" s="154"/>
    </row>
    <row r="5" spans="5:8" ht="12.75" customHeight="1">
      <c r="E5" s="154" t="s">
        <v>403</v>
      </c>
      <c r="F5" s="154"/>
      <c r="G5" s="154"/>
      <c r="H5" s="154"/>
    </row>
    <row r="6" spans="5:8" ht="12.75" customHeight="1">
      <c r="E6" s="154" t="s">
        <v>404</v>
      </c>
      <c r="F6" s="154"/>
      <c r="G6" s="154"/>
      <c r="H6" s="154"/>
    </row>
    <row r="7" spans="5:8" ht="12.75" customHeight="1">
      <c r="E7" s="154" t="s">
        <v>405</v>
      </c>
      <c r="F7" s="154"/>
      <c r="G7" s="154"/>
      <c r="H7" s="154"/>
    </row>
    <row r="8" spans="5:8" ht="12.75" customHeight="1">
      <c r="E8" s="154" t="s">
        <v>406</v>
      </c>
      <c r="F8" s="154"/>
      <c r="G8" s="154"/>
      <c r="H8" s="154"/>
    </row>
    <row r="9" spans="1:9" ht="30" customHeight="1">
      <c r="A9" s="139" t="s">
        <v>407</v>
      </c>
      <c r="B9" s="139"/>
      <c r="C9" s="139"/>
      <c r="D9" s="139"/>
      <c r="E9" s="139"/>
      <c r="F9" s="139"/>
      <c r="G9" s="139"/>
      <c r="H9" s="139"/>
      <c r="I9" s="139"/>
    </row>
    <row r="10" spans="1:8" ht="15.75" customHeight="1">
      <c r="A10"/>
      <c r="B10"/>
      <c r="C10" s="9"/>
      <c r="D10" s="140" t="s">
        <v>2</v>
      </c>
      <c r="E10" s="140"/>
      <c r="F10" s="140"/>
      <c r="G10" s="140"/>
      <c r="H10" s="140"/>
    </row>
    <row r="11" spans="1:8" ht="15.75" hidden="1">
      <c r="A11" s="141"/>
      <c r="B11" s="141"/>
      <c r="C11" s="141"/>
      <c r="D11" s="141"/>
      <c r="E11" s="141"/>
      <c r="F11" s="141"/>
      <c r="G11" s="141"/>
      <c r="H11" s="141"/>
    </row>
    <row r="12" spans="1:9" ht="34.5" customHeight="1">
      <c r="A12" s="142" t="s">
        <v>3</v>
      </c>
      <c r="B12" s="142" t="s">
        <v>4</v>
      </c>
      <c r="C12" s="143" t="s">
        <v>5</v>
      </c>
      <c r="D12" s="144" t="s">
        <v>6</v>
      </c>
      <c r="E12" s="144" t="s">
        <v>7</v>
      </c>
      <c r="F12" s="143" t="s">
        <v>8</v>
      </c>
      <c r="G12" s="11" t="s">
        <v>9</v>
      </c>
      <c r="H12" s="11" t="s">
        <v>10</v>
      </c>
      <c r="I12" s="137" t="s">
        <v>408</v>
      </c>
    </row>
    <row r="13" spans="1:9" ht="15" customHeight="1">
      <c r="A13" s="142"/>
      <c r="B13" s="142"/>
      <c r="C13" s="143"/>
      <c r="D13" s="144"/>
      <c r="E13" s="144"/>
      <c r="F13" s="143"/>
      <c r="G13" s="137" t="s">
        <v>11</v>
      </c>
      <c r="H13" s="137"/>
      <c r="I13" s="137"/>
    </row>
    <row r="14" spans="1:9" ht="15.75">
      <c r="A14" s="142"/>
      <c r="B14" s="142"/>
      <c r="C14" s="143"/>
      <c r="D14" s="144"/>
      <c r="E14" s="144"/>
      <c r="F14" s="143"/>
      <c r="G14" s="137">
        <v>559.4</v>
      </c>
      <c r="H14" s="137"/>
      <c r="I14" s="137"/>
    </row>
    <row r="15" spans="1:9" ht="15.75">
      <c r="A15" s="12">
        <v>1</v>
      </c>
      <c r="B15" s="12">
        <v>2</v>
      </c>
      <c r="C15" s="13">
        <v>1</v>
      </c>
      <c r="D15" s="14">
        <v>2</v>
      </c>
      <c r="E15" s="14">
        <v>3</v>
      </c>
      <c r="F15" s="15">
        <v>3</v>
      </c>
      <c r="G15" s="16">
        <v>4</v>
      </c>
      <c r="H15" s="16">
        <v>5</v>
      </c>
      <c r="I15" s="16">
        <v>6</v>
      </c>
    </row>
    <row r="16" spans="1:9" ht="25.5" hidden="1">
      <c r="A16" s="17"/>
      <c r="B16" s="17"/>
      <c r="C16" s="13"/>
      <c r="D16" s="18" t="s">
        <v>12</v>
      </c>
      <c r="E16" s="18" t="s">
        <v>13</v>
      </c>
      <c r="F16" s="15" t="s">
        <v>14</v>
      </c>
      <c r="G16" s="16">
        <v>720</v>
      </c>
      <c r="H16" s="16">
        <v>850</v>
      </c>
      <c r="I16" s="16"/>
    </row>
    <row r="17" spans="1:9" ht="25.5" hidden="1">
      <c r="A17" s="17"/>
      <c r="B17" s="17"/>
      <c r="C17" s="13"/>
      <c r="D17" s="19" t="s">
        <v>15</v>
      </c>
      <c r="E17" s="19" t="s">
        <v>16</v>
      </c>
      <c r="F17" s="15" t="s">
        <v>14</v>
      </c>
      <c r="G17" s="16">
        <v>7115.57</v>
      </c>
      <c r="H17" s="16">
        <v>8396</v>
      </c>
      <c r="I17" s="16"/>
    </row>
    <row r="18" spans="1:9" ht="25.5" hidden="1">
      <c r="A18" s="17"/>
      <c r="B18" s="17"/>
      <c r="C18" s="13"/>
      <c r="D18" s="19" t="s">
        <v>17</v>
      </c>
      <c r="E18" s="19" t="s">
        <v>18</v>
      </c>
      <c r="F18" s="15" t="s">
        <v>14</v>
      </c>
      <c r="G18" s="16">
        <v>2550.86</v>
      </c>
      <c r="H18" s="16">
        <v>3010</v>
      </c>
      <c r="I18" s="16"/>
    </row>
    <row r="19" spans="1:9" ht="25.5" hidden="1">
      <c r="A19" s="17"/>
      <c r="B19" s="17"/>
      <c r="C19" s="13"/>
      <c r="D19" s="18" t="s">
        <v>19</v>
      </c>
      <c r="E19" s="18" t="s">
        <v>18</v>
      </c>
      <c r="F19" s="15" t="s">
        <v>14</v>
      </c>
      <c r="G19" s="16">
        <v>1641.05</v>
      </c>
      <c r="H19" s="16">
        <v>1937</v>
      </c>
      <c r="I19" s="16"/>
    </row>
    <row r="20" spans="1:9" ht="25.5" hidden="1">
      <c r="A20" s="17"/>
      <c r="B20" s="17"/>
      <c r="C20" s="13"/>
      <c r="D20" s="19" t="s">
        <v>20</v>
      </c>
      <c r="E20" s="19" t="s">
        <v>21</v>
      </c>
      <c r="F20" s="15" t="s">
        <v>14</v>
      </c>
      <c r="G20" s="16">
        <v>1745.33</v>
      </c>
      <c r="H20" s="16">
        <v>2059</v>
      </c>
      <c r="I20" s="16"/>
    </row>
    <row r="21" spans="1:9" ht="25.5" hidden="1">
      <c r="A21" s="17"/>
      <c r="B21" s="17"/>
      <c r="C21" s="13"/>
      <c r="D21" s="19" t="s">
        <v>22</v>
      </c>
      <c r="E21" s="19" t="s">
        <v>23</v>
      </c>
      <c r="F21" s="15" t="s">
        <v>14</v>
      </c>
      <c r="G21" s="16">
        <v>624.6</v>
      </c>
      <c r="H21" s="16">
        <v>737</v>
      </c>
      <c r="I21" s="16"/>
    </row>
    <row r="22" spans="1:9" ht="15.75" hidden="1">
      <c r="A22" s="17"/>
      <c r="B22" s="17"/>
      <c r="C22" s="13"/>
      <c r="D22" s="20" t="s">
        <v>24</v>
      </c>
      <c r="E22" s="20"/>
      <c r="F22" s="15"/>
      <c r="G22" s="21">
        <v>9</v>
      </c>
      <c r="H22" s="16"/>
      <c r="I22" s="16"/>
    </row>
    <row r="23" spans="1:9" ht="12.75" customHeight="1" hidden="1">
      <c r="A23" s="134" t="s">
        <v>25</v>
      </c>
      <c r="B23" s="134"/>
      <c r="C23" s="22"/>
      <c r="D23" s="23" t="s">
        <v>26</v>
      </c>
      <c r="E23" s="23"/>
      <c r="F23" s="16"/>
      <c r="G23" s="21">
        <v>9</v>
      </c>
      <c r="H23" s="16"/>
      <c r="I23" s="16"/>
    </row>
    <row r="24" spans="1:9" ht="102" hidden="1">
      <c r="A24" s="24">
        <v>1</v>
      </c>
      <c r="B24" s="24" t="s">
        <v>27</v>
      </c>
      <c r="C24" s="10"/>
      <c r="D24" s="25" t="s">
        <v>28</v>
      </c>
      <c r="E24" s="25" t="s">
        <v>29</v>
      </c>
      <c r="F24" s="26" t="s">
        <v>30</v>
      </c>
      <c r="G24" s="16">
        <v>6</v>
      </c>
      <c r="H24" s="16">
        <v>3384</v>
      </c>
      <c r="I24" s="16"/>
    </row>
    <row r="25" spans="1:9" ht="12.75" customHeight="1" hidden="1">
      <c r="A25" s="134" t="s">
        <v>31</v>
      </c>
      <c r="B25" s="134"/>
      <c r="C25" s="22"/>
      <c r="D25" s="23" t="s">
        <v>32</v>
      </c>
      <c r="E25" s="23"/>
      <c r="F25" s="16"/>
      <c r="G25" s="21">
        <v>9</v>
      </c>
      <c r="H25" s="16"/>
      <c r="I25" s="16"/>
    </row>
    <row r="26" spans="1:9" ht="102" hidden="1">
      <c r="A26" s="24">
        <v>3</v>
      </c>
      <c r="B26" s="24" t="s">
        <v>33</v>
      </c>
      <c r="C26" s="10"/>
      <c r="D26" s="25" t="s">
        <v>34</v>
      </c>
      <c r="E26" s="25" t="s">
        <v>29</v>
      </c>
      <c r="F26" s="26" t="s">
        <v>35</v>
      </c>
      <c r="G26" s="16">
        <v>1</v>
      </c>
      <c r="H26" s="16">
        <v>309</v>
      </c>
      <c r="I26" s="16"/>
    </row>
    <row r="27" spans="1:9" ht="102" hidden="1">
      <c r="A27" s="24">
        <v>4</v>
      </c>
      <c r="B27" s="24" t="s">
        <v>36</v>
      </c>
      <c r="C27" s="10"/>
      <c r="D27" s="25" t="s">
        <v>37</v>
      </c>
      <c r="E27" s="25" t="s">
        <v>29</v>
      </c>
      <c r="F27" s="26" t="s">
        <v>35</v>
      </c>
      <c r="G27" s="16">
        <v>1</v>
      </c>
      <c r="H27" s="16">
        <v>399</v>
      </c>
      <c r="I27" s="16"/>
    </row>
    <row r="28" spans="1:9" ht="102" hidden="1">
      <c r="A28" s="24">
        <v>5</v>
      </c>
      <c r="B28" s="24" t="s">
        <v>38</v>
      </c>
      <c r="C28" s="10"/>
      <c r="D28" s="25" t="s">
        <v>39</v>
      </c>
      <c r="E28" s="25" t="s">
        <v>29</v>
      </c>
      <c r="F28" s="26" t="s">
        <v>40</v>
      </c>
      <c r="G28" s="16">
        <v>0.15</v>
      </c>
      <c r="H28" s="16">
        <v>781</v>
      </c>
      <c r="I28" s="16"/>
    </row>
    <row r="29" spans="1:9" ht="102" hidden="1">
      <c r="A29" s="24">
        <v>7</v>
      </c>
      <c r="B29" s="24" t="s">
        <v>41</v>
      </c>
      <c r="C29" s="10"/>
      <c r="D29" s="25" t="s">
        <v>42</v>
      </c>
      <c r="E29" s="25" t="s">
        <v>29</v>
      </c>
      <c r="F29" s="26" t="s">
        <v>40</v>
      </c>
      <c r="G29" s="16">
        <v>0.2</v>
      </c>
      <c r="H29" s="16">
        <v>87</v>
      </c>
      <c r="I29" s="16"/>
    </row>
    <row r="30" spans="1:9" ht="102" hidden="1">
      <c r="A30" s="24">
        <v>8</v>
      </c>
      <c r="B30" s="24" t="s">
        <v>43</v>
      </c>
      <c r="C30" s="10"/>
      <c r="D30" s="25" t="s">
        <v>44</v>
      </c>
      <c r="E30" s="25" t="s">
        <v>29</v>
      </c>
      <c r="F30" s="26" t="s">
        <v>45</v>
      </c>
      <c r="G30" s="16">
        <v>1</v>
      </c>
      <c r="H30" s="16">
        <v>384</v>
      </c>
      <c r="I30" s="16"/>
    </row>
    <row r="31" spans="1:9" ht="12.75" customHeight="1" hidden="1">
      <c r="A31" s="138" t="s">
        <v>46</v>
      </c>
      <c r="B31" s="138"/>
      <c r="C31" s="27"/>
      <c r="D31" s="23" t="s">
        <v>47</v>
      </c>
      <c r="E31" s="23"/>
      <c r="F31" s="26"/>
      <c r="G31" s="16"/>
      <c r="H31" s="16"/>
      <c r="I31" s="16"/>
    </row>
    <row r="32" spans="1:9" ht="25.5" hidden="1">
      <c r="A32" s="24">
        <v>189</v>
      </c>
      <c r="B32" s="24" t="s">
        <v>48</v>
      </c>
      <c r="C32" s="10"/>
      <c r="D32" s="25" t="s">
        <v>49</v>
      </c>
      <c r="E32" s="25"/>
      <c r="F32" s="26" t="s">
        <v>40</v>
      </c>
      <c r="G32" s="16">
        <v>2.2555</v>
      </c>
      <c r="H32" s="16">
        <v>6225</v>
      </c>
      <c r="I32" s="16"/>
    </row>
    <row r="33" spans="1:9" ht="25.5" hidden="1">
      <c r="A33" s="24">
        <v>918</v>
      </c>
      <c r="B33" s="24" t="s">
        <v>50</v>
      </c>
      <c r="C33" s="10"/>
      <c r="D33" s="25" t="s">
        <v>51</v>
      </c>
      <c r="E33" s="25"/>
      <c r="F33" s="26" t="s">
        <v>52</v>
      </c>
      <c r="G33" s="16">
        <v>9.022</v>
      </c>
      <c r="H33" s="16">
        <v>6474</v>
      </c>
      <c r="I33" s="16"/>
    </row>
    <row r="34" spans="1:9" ht="25.5" hidden="1">
      <c r="A34" s="24">
        <v>919</v>
      </c>
      <c r="B34" s="24" t="s">
        <v>53</v>
      </c>
      <c r="C34" s="10"/>
      <c r="D34" s="25" t="s">
        <v>54</v>
      </c>
      <c r="E34" s="25"/>
      <c r="F34" s="26" t="s">
        <v>52</v>
      </c>
      <c r="G34" s="16">
        <v>8.1198</v>
      </c>
      <c r="H34" s="16">
        <v>1154</v>
      </c>
      <c r="I34" s="16"/>
    </row>
    <row r="35" spans="1:9" ht="12.75" customHeight="1" hidden="1">
      <c r="A35" s="134" t="s">
        <v>55</v>
      </c>
      <c r="B35" s="134"/>
      <c r="C35" s="134"/>
      <c r="D35" s="134"/>
      <c r="E35" s="134"/>
      <c r="F35" s="134"/>
      <c r="G35" s="21">
        <v>9</v>
      </c>
      <c r="H35" s="16"/>
      <c r="I35" s="16"/>
    </row>
    <row r="36" spans="1:9" ht="12.75" customHeight="1" hidden="1">
      <c r="A36" s="134" t="s">
        <v>56</v>
      </c>
      <c r="B36" s="134"/>
      <c r="C36" s="22"/>
      <c r="D36" s="23" t="s">
        <v>57</v>
      </c>
      <c r="E36" s="23"/>
      <c r="F36" s="16"/>
      <c r="G36" s="21">
        <v>9</v>
      </c>
      <c r="H36" s="16"/>
      <c r="I36" s="16"/>
    </row>
    <row r="37" spans="1:9" ht="38.25" hidden="1">
      <c r="A37" s="24">
        <v>25</v>
      </c>
      <c r="B37" s="24" t="s">
        <v>58</v>
      </c>
      <c r="C37" s="10"/>
      <c r="D37" s="29" t="s">
        <v>59</v>
      </c>
      <c r="E37" s="25" t="s">
        <v>60</v>
      </c>
      <c r="F37" s="26" t="s">
        <v>61</v>
      </c>
      <c r="G37" s="16">
        <v>5</v>
      </c>
      <c r="H37" s="16">
        <v>1325</v>
      </c>
      <c r="I37" s="16"/>
    </row>
    <row r="38" spans="1:9" ht="38.25" hidden="1">
      <c r="A38" s="24">
        <v>26</v>
      </c>
      <c r="B38" s="24" t="s">
        <v>62</v>
      </c>
      <c r="C38" s="10"/>
      <c r="D38" s="29" t="s">
        <v>63</v>
      </c>
      <c r="E38" s="25" t="s">
        <v>60</v>
      </c>
      <c r="F38" s="26" t="s">
        <v>61</v>
      </c>
      <c r="G38" s="16">
        <v>5</v>
      </c>
      <c r="H38" s="16">
        <v>1765</v>
      </c>
      <c r="I38" s="16"/>
    </row>
    <row r="39" spans="1:9" ht="38.25" hidden="1">
      <c r="A39" s="24">
        <v>27</v>
      </c>
      <c r="B39" s="24" t="s">
        <v>64</v>
      </c>
      <c r="C39" s="10"/>
      <c r="D39" s="29" t="s">
        <v>65</v>
      </c>
      <c r="E39" s="25" t="s">
        <v>60</v>
      </c>
      <c r="F39" s="26" t="s">
        <v>61</v>
      </c>
      <c r="G39" s="16">
        <v>1</v>
      </c>
      <c r="H39" s="16">
        <v>500</v>
      </c>
      <c r="I39" s="16"/>
    </row>
    <row r="40" spans="1:9" ht="38.25" hidden="1">
      <c r="A40" s="24">
        <v>28</v>
      </c>
      <c r="B40" s="24" t="s">
        <v>66</v>
      </c>
      <c r="C40" s="10"/>
      <c r="D40" s="29" t="s">
        <v>67</v>
      </c>
      <c r="E40" s="29" t="s">
        <v>68</v>
      </c>
      <c r="F40" s="26" t="s">
        <v>69</v>
      </c>
      <c r="G40" s="16">
        <v>4</v>
      </c>
      <c r="H40" s="16">
        <v>332</v>
      </c>
      <c r="I40" s="16"/>
    </row>
    <row r="41" spans="1:9" ht="38.25" hidden="1">
      <c r="A41" s="24">
        <v>29</v>
      </c>
      <c r="B41" s="24" t="s">
        <v>70</v>
      </c>
      <c r="C41" s="10"/>
      <c r="D41" s="29" t="s">
        <v>71</v>
      </c>
      <c r="E41" s="29" t="s">
        <v>68</v>
      </c>
      <c r="F41" s="26" t="s">
        <v>69</v>
      </c>
      <c r="G41" s="16">
        <v>2</v>
      </c>
      <c r="H41" s="16">
        <v>270</v>
      </c>
      <c r="I41" s="16"/>
    </row>
    <row r="42" spans="1:9" ht="38.25" hidden="1">
      <c r="A42" s="24">
        <v>33</v>
      </c>
      <c r="B42" s="24" t="s">
        <v>72</v>
      </c>
      <c r="C42" s="10"/>
      <c r="D42" s="29" t="s">
        <v>73</v>
      </c>
      <c r="E42" s="29" t="s">
        <v>68</v>
      </c>
      <c r="F42" s="26" t="s">
        <v>74</v>
      </c>
      <c r="G42" s="16">
        <v>1</v>
      </c>
      <c r="H42" s="16">
        <v>514</v>
      </c>
      <c r="I42" s="16"/>
    </row>
    <row r="43" spans="1:9" ht="38.25" hidden="1">
      <c r="A43" s="24">
        <v>55</v>
      </c>
      <c r="B43" s="24" t="s">
        <v>75</v>
      </c>
      <c r="C43" s="10"/>
      <c r="D43" s="29" t="s">
        <v>76</v>
      </c>
      <c r="E43" s="29" t="s">
        <v>68</v>
      </c>
      <c r="F43" s="26" t="s">
        <v>77</v>
      </c>
      <c r="G43" s="16">
        <v>1</v>
      </c>
      <c r="H43" s="16">
        <v>451</v>
      </c>
      <c r="I43" s="16"/>
    </row>
    <row r="44" spans="1:9" ht="38.25" hidden="1">
      <c r="A44" s="24">
        <v>64</v>
      </c>
      <c r="B44" s="24" t="s">
        <v>78</v>
      </c>
      <c r="C44" s="10"/>
      <c r="D44" s="29" t="s">
        <v>79</v>
      </c>
      <c r="E44" s="29" t="s">
        <v>68</v>
      </c>
      <c r="F44" s="26" t="s">
        <v>77</v>
      </c>
      <c r="G44" s="16">
        <v>12</v>
      </c>
      <c r="H44" s="16">
        <v>277</v>
      </c>
      <c r="I44" s="16"/>
    </row>
    <row r="45" spans="1:9" ht="38.25" hidden="1">
      <c r="A45" s="24">
        <v>65</v>
      </c>
      <c r="B45" s="24" t="s">
        <v>80</v>
      </c>
      <c r="C45" s="10"/>
      <c r="D45" s="29" t="s">
        <v>81</v>
      </c>
      <c r="E45" s="29" t="s">
        <v>68</v>
      </c>
      <c r="F45" s="26" t="s">
        <v>74</v>
      </c>
      <c r="G45" s="16">
        <v>4</v>
      </c>
      <c r="H45" s="16">
        <v>198</v>
      </c>
      <c r="I45" s="16"/>
    </row>
    <row r="46" spans="1:9" ht="38.25" hidden="1">
      <c r="A46" s="24">
        <v>66</v>
      </c>
      <c r="B46" s="24" t="s">
        <v>82</v>
      </c>
      <c r="C46" s="10"/>
      <c r="D46" s="29" t="s">
        <v>83</v>
      </c>
      <c r="E46" s="29" t="s">
        <v>68</v>
      </c>
      <c r="F46" s="26" t="s">
        <v>74</v>
      </c>
      <c r="G46" s="16">
        <v>2</v>
      </c>
      <c r="H46" s="16">
        <v>346</v>
      </c>
      <c r="I46" s="16"/>
    </row>
    <row r="47" spans="1:9" ht="38.25" hidden="1">
      <c r="A47" s="24">
        <v>67</v>
      </c>
      <c r="B47" s="24" t="s">
        <v>84</v>
      </c>
      <c r="C47" s="10"/>
      <c r="D47" s="29" t="s">
        <v>85</v>
      </c>
      <c r="E47" s="29" t="s">
        <v>68</v>
      </c>
      <c r="F47" s="26" t="s">
        <v>74</v>
      </c>
      <c r="G47" s="16">
        <v>2</v>
      </c>
      <c r="H47" s="16">
        <v>484</v>
      </c>
      <c r="I47" s="16"/>
    </row>
    <row r="48" spans="1:9" ht="51" hidden="1">
      <c r="A48" s="24">
        <v>73</v>
      </c>
      <c r="B48" s="24" t="s">
        <v>86</v>
      </c>
      <c r="C48" s="10"/>
      <c r="D48" s="29" t="s">
        <v>87</v>
      </c>
      <c r="E48" s="29" t="s">
        <v>23</v>
      </c>
      <c r="F48" s="26" t="s">
        <v>88</v>
      </c>
      <c r="G48" s="16">
        <v>1</v>
      </c>
      <c r="H48" s="16">
        <v>3464</v>
      </c>
      <c r="I48" s="16"/>
    </row>
    <row r="49" spans="1:9" ht="38.25" hidden="1">
      <c r="A49" s="24">
        <v>83</v>
      </c>
      <c r="B49" s="24" t="s">
        <v>89</v>
      </c>
      <c r="C49" s="10"/>
      <c r="D49" s="29" t="s">
        <v>90</v>
      </c>
      <c r="E49" s="29" t="s">
        <v>68</v>
      </c>
      <c r="F49" s="26" t="s">
        <v>74</v>
      </c>
      <c r="G49" s="16">
        <v>12</v>
      </c>
      <c r="H49" s="16">
        <v>424</v>
      </c>
      <c r="I49" s="16"/>
    </row>
    <row r="50" spans="1:9" ht="38.25" hidden="1">
      <c r="A50" s="24">
        <v>84</v>
      </c>
      <c r="B50" s="24" t="s">
        <v>91</v>
      </c>
      <c r="C50" s="10"/>
      <c r="D50" s="29" t="s">
        <v>92</v>
      </c>
      <c r="E50" s="29" t="s">
        <v>68</v>
      </c>
      <c r="F50" s="26" t="s">
        <v>74</v>
      </c>
      <c r="G50" s="16">
        <v>12</v>
      </c>
      <c r="H50" s="16">
        <v>1236</v>
      </c>
      <c r="I50" s="16"/>
    </row>
    <row r="51" spans="1:9" ht="38.25" hidden="1">
      <c r="A51" s="24">
        <v>87</v>
      </c>
      <c r="B51" s="24" t="s">
        <v>93</v>
      </c>
      <c r="C51" s="10"/>
      <c r="D51" s="29" t="s">
        <v>94</v>
      </c>
      <c r="E51" s="29" t="s">
        <v>68</v>
      </c>
      <c r="F51" s="26" t="s">
        <v>95</v>
      </c>
      <c r="G51" s="16">
        <v>3.15</v>
      </c>
      <c r="H51" s="16">
        <v>3027</v>
      </c>
      <c r="I51" s="16"/>
    </row>
    <row r="52" spans="1:9" ht="15.75" hidden="1">
      <c r="A52" s="24">
        <v>88</v>
      </c>
      <c r="B52" s="24" t="s">
        <v>96</v>
      </c>
      <c r="C52" s="10"/>
      <c r="D52" s="29" t="s">
        <v>97</v>
      </c>
      <c r="E52" s="29" t="s">
        <v>23</v>
      </c>
      <c r="F52" s="26" t="s">
        <v>74</v>
      </c>
      <c r="G52" s="16">
        <v>1</v>
      </c>
      <c r="H52" s="16">
        <v>50</v>
      </c>
      <c r="I52" s="16"/>
    </row>
    <row r="53" spans="1:9" ht="12.75" customHeight="1" hidden="1">
      <c r="A53" s="134" t="s">
        <v>31</v>
      </c>
      <c r="B53" s="134"/>
      <c r="C53" s="22"/>
      <c r="D53" s="135" t="s">
        <v>98</v>
      </c>
      <c r="E53" s="135"/>
      <c r="F53" s="135"/>
      <c r="G53" s="21">
        <v>9</v>
      </c>
      <c r="H53" s="16"/>
      <c r="I53" s="16"/>
    </row>
    <row r="54" spans="1:9" ht="38.25" hidden="1">
      <c r="A54" s="24">
        <v>685</v>
      </c>
      <c r="B54" s="24" t="s">
        <v>99</v>
      </c>
      <c r="C54" s="10"/>
      <c r="D54" s="29" t="s">
        <v>100</v>
      </c>
      <c r="E54" s="29" t="s">
        <v>68</v>
      </c>
      <c r="F54" s="26" t="s">
        <v>61</v>
      </c>
      <c r="G54" s="16">
        <v>15</v>
      </c>
      <c r="H54" s="16">
        <v>737</v>
      </c>
      <c r="I54" s="16"/>
    </row>
    <row r="55" spans="1:9" ht="12.75" customHeight="1" hidden="1">
      <c r="A55" s="134" t="s">
        <v>101</v>
      </c>
      <c r="B55" s="134"/>
      <c r="C55" s="22"/>
      <c r="D55" s="135" t="s">
        <v>102</v>
      </c>
      <c r="E55" s="135"/>
      <c r="F55" s="135"/>
      <c r="G55" s="21">
        <v>9</v>
      </c>
      <c r="H55" s="16"/>
      <c r="I55" s="16"/>
    </row>
    <row r="56" spans="1:9" ht="38.25" hidden="1">
      <c r="A56" s="24">
        <v>712</v>
      </c>
      <c r="B56" s="24" t="s">
        <v>103</v>
      </c>
      <c r="C56" s="10"/>
      <c r="D56" s="25" t="s">
        <v>104</v>
      </c>
      <c r="E56" s="29" t="s">
        <v>68</v>
      </c>
      <c r="F56" s="26" t="s">
        <v>105</v>
      </c>
      <c r="G56" s="16">
        <v>0.6</v>
      </c>
      <c r="H56" s="16">
        <v>155</v>
      </c>
      <c r="I56" s="16"/>
    </row>
    <row r="57" spans="1:9" ht="38.25" hidden="1">
      <c r="A57" s="24">
        <v>726</v>
      </c>
      <c r="B57" s="24" t="s">
        <v>106</v>
      </c>
      <c r="C57" s="10"/>
      <c r="D57" s="25" t="s">
        <v>107</v>
      </c>
      <c r="E57" s="29" t="s">
        <v>68</v>
      </c>
      <c r="F57" s="26" t="s">
        <v>108</v>
      </c>
      <c r="G57" s="16">
        <v>7.5</v>
      </c>
      <c r="H57" s="16">
        <v>400</v>
      </c>
      <c r="I57" s="16"/>
    </row>
    <row r="58" spans="1:9" ht="25.5" hidden="1">
      <c r="A58" s="24">
        <v>730</v>
      </c>
      <c r="B58" s="24" t="s">
        <v>109</v>
      </c>
      <c r="C58" s="10"/>
      <c r="D58" s="25" t="s">
        <v>110</v>
      </c>
      <c r="E58" s="25" t="s">
        <v>21</v>
      </c>
      <c r="F58" s="26" t="s">
        <v>111</v>
      </c>
      <c r="G58" s="16">
        <v>1</v>
      </c>
      <c r="H58" s="16">
        <v>19</v>
      </c>
      <c r="I58" s="16"/>
    </row>
    <row r="59" spans="1:9" ht="12.75" customHeight="1" hidden="1">
      <c r="A59" s="134" t="s">
        <v>112</v>
      </c>
      <c r="B59" s="134"/>
      <c r="C59" s="22"/>
      <c r="D59" s="23" t="s">
        <v>113</v>
      </c>
      <c r="E59" s="23"/>
      <c r="F59" s="16"/>
      <c r="G59" s="21">
        <v>9</v>
      </c>
      <c r="H59" s="16"/>
      <c r="I59" s="16"/>
    </row>
    <row r="60" spans="1:9" ht="25.5" hidden="1">
      <c r="A60" s="24">
        <v>90</v>
      </c>
      <c r="B60" s="24" t="s">
        <v>114</v>
      </c>
      <c r="C60" s="10"/>
      <c r="D60" s="25" t="s">
        <v>115</v>
      </c>
      <c r="E60" s="25" t="s">
        <v>116</v>
      </c>
      <c r="F60" s="26" t="s">
        <v>117</v>
      </c>
      <c r="G60" s="16">
        <v>0.06</v>
      </c>
      <c r="H60" s="16">
        <v>76</v>
      </c>
      <c r="I60" s="16"/>
    </row>
    <row r="61" spans="1:9" ht="25.5" hidden="1">
      <c r="A61" s="24">
        <v>92</v>
      </c>
      <c r="B61" s="24" t="s">
        <v>118</v>
      </c>
      <c r="C61" s="10"/>
      <c r="D61" s="25" t="s">
        <v>119</v>
      </c>
      <c r="E61" s="25" t="s">
        <v>116</v>
      </c>
      <c r="F61" s="26" t="s">
        <v>120</v>
      </c>
      <c r="G61" s="16">
        <v>0.01</v>
      </c>
      <c r="H61" s="16">
        <v>26</v>
      </c>
      <c r="I61" s="16"/>
    </row>
    <row r="62" spans="1:9" ht="25.5" hidden="1">
      <c r="A62" s="24">
        <v>93</v>
      </c>
      <c r="B62" s="24" t="s">
        <v>121</v>
      </c>
      <c r="C62" s="10"/>
      <c r="D62" s="25" t="s">
        <v>122</v>
      </c>
      <c r="E62" s="25" t="s">
        <v>123</v>
      </c>
      <c r="F62" s="26" t="s">
        <v>124</v>
      </c>
      <c r="G62" s="16">
        <v>0.12</v>
      </c>
      <c r="H62" s="16">
        <v>1013</v>
      </c>
      <c r="I62" s="16"/>
    </row>
    <row r="63" spans="1:9" ht="12.75" customHeight="1" hidden="1">
      <c r="A63" s="134" t="s">
        <v>125</v>
      </c>
      <c r="B63" s="134"/>
      <c r="C63" s="134"/>
      <c r="D63" s="134"/>
      <c r="E63" s="134"/>
      <c r="F63" s="134"/>
      <c r="G63" s="21">
        <v>9</v>
      </c>
      <c r="H63" s="16"/>
      <c r="I63" s="16"/>
    </row>
    <row r="64" spans="1:9" ht="12.75" customHeight="1" hidden="1">
      <c r="A64" s="134" t="s">
        <v>126</v>
      </c>
      <c r="B64" s="134"/>
      <c r="C64" s="22"/>
      <c r="D64" s="135" t="s">
        <v>127</v>
      </c>
      <c r="E64" s="135"/>
      <c r="F64" s="135"/>
      <c r="G64" s="21">
        <v>9</v>
      </c>
      <c r="H64" s="16"/>
      <c r="I64" s="16"/>
    </row>
    <row r="65" spans="1:9" ht="25.5" hidden="1">
      <c r="A65" s="24">
        <v>94</v>
      </c>
      <c r="B65" s="24" t="s">
        <v>128</v>
      </c>
      <c r="C65" s="10"/>
      <c r="D65" s="25" t="s">
        <v>129</v>
      </c>
      <c r="E65" s="25" t="s">
        <v>130</v>
      </c>
      <c r="F65" s="26" t="s">
        <v>52</v>
      </c>
      <c r="G65" s="16">
        <v>27.3</v>
      </c>
      <c r="H65" s="16">
        <v>2198</v>
      </c>
      <c r="I65" s="16"/>
    </row>
    <row r="66" spans="1:9" ht="12.75" customHeight="1" hidden="1">
      <c r="A66" s="134" t="s">
        <v>131</v>
      </c>
      <c r="B66" s="134"/>
      <c r="C66" s="22"/>
      <c r="D66" s="135" t="s">
        <v>132</v>
      </c>
      <c r="E66" s="135"/>
      <c r="F66" s="135"/>
      <c r="G66" s="21">
        <v>9</v>
      </c>
      <c r="H66" s="16"/>
      <c r="I66" s="16"/>
    </row>
    <row r="67" spans="1:9" ht="25.5" hidden="1">
      <c r="A67" s="24">
        <v>111</v>
      </c>
      <c r="B67" s="24" t="s">
        <v>133</v>
      </c>
      <c r="C67" s="10"/>
      <c r="D67" s="25" t="s">
        <v>134</v>
      </c>
      <c r="E67" s="25" t="s">
        <v>135</v>
      </c>
      <c r="F67" s="26" t="s">
        <v>136</v>
      </c>
      <c r="G67" s="16">
        <v>2167.2</v>
      </c>
      <c r="H67" s="16">
        <v>3533</v>
      </c>
      <c r="I67" s="16"/>
    </row>
    <row r="68" spans="1:9" ht="12.75" customHeight="1" hidden="1">
      <c r="A68" s="134" t="s">
        <v>137</v>
      </c>
      <c r="B68" s="134"/>
      <c r="C68" s="30"/>
      <c r="D68" s="135" t="s">
        <v>138</v>
      </c>
      <c r="E68" s="135"/>
      <c r="F68" s="135"/>
      <c r="G68" s="21">
        <v>9</v>
      </c>
      <c r="H68" s="16"/>
      <c r="I68" s="16"/>
    </row>
    <row r="69" spans="1:9" ht="38.25" hidden="1">
      <c r="A69" s="24">
        <v>112</v>
      </c>
      <c r="B69" s="24" t="s">
        <v>139</v>
      </c>
      <c r="C69" s="10"/>
      <c r="D69" s="29" t="s">
        <v>140</v>
      </c>
      <c r="E69" s="29" t="s">
        <v>141</v>
      </c>
      <c r="F69" s="26" t="s">
        <v>142</v>
      </c>
      <c r="G69" s="16">
        <v>11.55</v>
      </c>
      <c r="H69" s="16">
        <v>1372</v>
      </c>
      <c r="I69" s="16"/>
    </row>
    <row r="70" spans="1:9" ht="38.25" hidden="1">
      <c r="A70" s="24">
        <v>114</v>
      </c>
      <c r="B70" s="24" t="s">
        <v>143</v>
      </c>
      <c r="C70" s="10"/>
      <c r="D70" s="25" t="s">
        <v>144</v>
      </c>
      <c r="E70" s="25" t="s">
        <v>141</v>
      </c>
      <c r="F70" s="26" t="s">
        <v>142</v>
      </c>
      <c r="G70" s="16">
        <v>4.5</v>
      </c>
      <c r="H70" s="16">
        <v>875</v>
      </c>
      <c r="I70" s="16"/>
    </row>
    <row r="71" spans="1:9" ht="25.5" hidden="1">
      <c r="A71" s="24">
        <v>121</v>
      </c>
      <c r="B71" s="24" t="s">
        <v>145</v>
      </c>
      <c r="C71" s="10"/>
      <c r="D71" s="25" t="s">
        <v>146</v>
      </c>
      <c r="E71" s="25" t="s">
        <v>130</v>
      </c>
      <c r="F71" s="26" t="s">
        <v>142</v>
      </c>
      <c r="G71" s="16">
        <v>6.888</v>
      </c>
      <c r="H71" s="16">
        <v>493</v>
      </c>
      <c r="I71" s="16"/>
    </row>
    <row r="72" spans="1:9" ht="38.25" hidden="1">
      <c r="A72" s="24">
        <v>122</v>
      </c>
      <c r="B72" s="24" t="s">
        <v>147</v>
      </c>
      <c r="C72" s="10"/>
      <c r="D72" s="25" t="s">
        <v>148</v>
      </c>
      <c r="E72" s="25" t="s">
        <v>149</v>
      </c>
      <c r="F72" s="26" t="s">
        <v>142</v>
      </c>
      <c r="G72" s="16">
        <v>1.148</v>
      </c>
      <c r="H72" s="16">
        <v>1592</v>
      </c>
      <c r="I72" s="16"/>
    </row>
    <row r="73" spans="1:9" ht="12.75" customHeight="1" hidden="1">
      <c r="A73" s="134" t="s">
        <v>150</v>
      </c>
      <c r="B73" s="134"/>
      <c r="C73" s="22"/>
      <c r="D73" s="135" t="s">
        <v>151</v>
      </c>
      <c r="E73" s="135"/>
      <c r="F73" s="135"/>
      <c r="G73" s="21">
        <v>9</v>
      </c>
      <c r="H73" s="16"/>
      <c r="I73" s="16"/>
    </row>
    <row r="74" spans="1:9" ht="38.25" hidden="1">
      <c r="A74" s="24">
        <v>125</v>
      </c>
      <c r="B74" s="24" t="s">
        <v>152</v>
      </c>
      <c r="C74" s="10"/>
      <c r="D74" s="29" t="s">
        <v>153</v>
      </c>
      <c r="E74" s="29" t="s">
        <v>141</v>
      </c>
      <c r="F74" s="26" t="s">
        <v>142</v>
      </c>
      <c r="G74" s="16">
        <v>34.65</v>
      </c>
      <c r="H74" s="16">
        <v>5580</v>
      </c>
      <c r="I74" s="16"/>
    </row>
    <row r="75" spans="1:9" ht="38.25" hidden="1">
      <c r="A75" s="24">
        <v>132</v>
      </c>
      <c r="B75" s="24" t="s">
        <v>154</v>
      </c>
      <c r="C75" s="10"/>
      <c r="D75" s="29" t="s">
        <v>155</v>
      </c>
      <c r="E75" s="29" t="s">
        <v>141</v>
      </c>
      <c r="F75" s="26" t="s">
        <v>142</v>
      </c>
      <c r="G75" s="16">
        <v>11.55</v>
      </c>
      <c r="H75" s="16">
        <v>11151</v>
      </c>
      <c r="I75" s="16"/>
    </row>
    <row r="76" spans="1:9" ht="76.5" hidden="1">
      <c r="A76" s="31"/>
      <c r="B76" s="32" t="s">
        <v>156</v>
      </c>
      <c r="C76" s="33"/>
      <c r="D76" s="34" t="s">
        <v>157</v>
      </c>
      <c r="E76" s="34" t="s">
        <v>158</v>
      </c>
      <c r="F76" s="33" t="s">
        <v>159</v>
      </c>
      <c r="G76" s="33">
        <v>0.04</v>
      </c>
      <c r="H76" s="33">
        <v>2936</v>
      </c>
      <c r="I76" s="16"/>
    </row>
    <row r="77" spans="1:9" ht="76.5" hidden="1">
      <c r="A77" s="31"/>
      <c r="B77" s="32" t="s">
        <v>160</v>
      </c>
      <c r="C77" s="33"/>
      <c r="D77" s="34" t="s">
        <v>161</v>
      </c>
      <c r="E77" s="34" t="s">
        <v>158</v>
      </c>
      <c r="F77" s="16" t="s">
        <v>52</v>
      </c>
      <c r="G77" s="16">
        <v>0.02</v>
      </c>
      <c r="H77" s="16">
        <v>1861</v>
      </c>
      <c r="I77" s="16"/>
    </row>
    <row r="78" spans="1:9" ht="15.75" hidden="1">
      <c r="A78" s="31"/>
      <c r="B78" s="32"/>
      <c r="C78" s="33"/>
      <c r="D78" s="35" t="s">
        <v>162</v>
      </c>
      <c r="E78" s="35"/>
      <c r="F78" s="33"/>
      <c r="G78" s="33"/>
      <c r="H78" s="36">
        <v>84866</v>
      </c>
      <c r="I78" s="16"/>
    </row>
    <row r="79" spans="1:9" ht="12.75" customHeight="1" hidden="1">
      <c r="A79" s="31"/>
      <c r="B79" s="32"/>
      <c r="C79" s="37"/>
      <c r="D79" s="136" t="s">
        <v>163</v>
      </c>
      <c r="E79" s="136"/>
      <c r="F79" s="136"/>
      <c r="G79" s="136"/>
      <c r="H79" s="136"/>
      <c r="I79" s="16"/>
    </row>
    <row r="80" spans="1:9" ht="15.75" hidden="1">
      <c r="A80" s="31"/>
      <c r="B80" s="32"/>
      <c r="C80" s="33"/>
      <c r="D80" s="38" t="s">
        <v>164</v>
      </c>
      <c r="E80" s="38"/>
      <c r="F80" s="16"/>
      <c r="G80" s="39">
        <v>11.391669646049339</v>
      </c>
      <c r="H80" s="36">
        <v>76470</v>
      </c>
      <c r="I80" s="16"/>
    </row>
    <row r="81" spans="1:9" ht="15.75" hidden="1">
      <c r="A81" s="31"/>
      <c r="B81" s="32"/>
      <c r="C81" s="33"/>
      <c r="D81" s="40" t="s">
        <v>165</v>
      </c>
      <c r="E81" s="40"/>
      <c r="F81" s="16"/>
      <c r="G81" s="39">
        <v>1.2507448456679775</v>
      </c>
      <c r="H81" s="36">
        <v>8396</v>
      </c>
      <c r="I81" s="16"/>
    </row>
    <row r="82" spans="1:9" ht="15.75" hidden="1">
      <c r="A82" s="24"/>
      <c r="B82" s="24"/>
      <c r="C82" s="10"/>
      <c r="D82" s="41" t="s">
        <v>166</v>
      </c>
      <c r="E82" s="41"/>
      <c r="F82" s="26"/>
      <c r="G82" s="42">
        <v>9</v>
      </c>
      <c r="H82" s="36"/>
      <c r="I82" s="16"/>
    </row>
    <row r="83" spans="1:9" ht="15.75" customHeight="1">
      <c r="A83" s="43"/>
      <c r="B83" s="134" t="s">
        <v>167</v>
      </c>
      <c r="C83" s="134"/>
      <c r="D83" s="134"/>
      <c r="E83" s="134"/>
      <c r="F83" s="134"/>
      <c r="G83" s="42">
        <v>9</v>
      </c>
      <c r="H83" s="36"/>
      <c r="I83" s="16"/>
    </row>
    <row r="84" spans="1:9" ht="15.75" customHeight="1">
      <c r="A84" s="134" t="s">
        <v>25</v>
      </c>
      <c r="B84" s="134"/>
      <c r="C84" s="22"/>
      <c r="D84" s="23" t="s">
        <v>26</v>
      </c>
      <c r="E84" s="23"/>
      <c r="F84" s="16"/>
      <c r="G84" s="42">
        <v>9</v>
      </c>
      <c r="H84" s="36"/>
      <c r="I84" s="16"/>
    </row>
    <row r="85" spans="1:9" ht="15.75">
      <c r="A85" s="24">
        <v>10</v>
      </c>
      <c r="B85" s="24" t="s">
        <v>27</v>
      </c>
      <c r="C85" s="10">
        <v>1</v>
      </c>
      <c r="D85" s="25" t="s">
        <v>28</v>
      </c>
      <c r="E85" s="25"/>
      <c r="F85" s="26" t="s">
        <v>30</v>
      </c>
      <c r="G85" s="16">
        <v>3</v>
      </c>
      <c r="H85" s="16">
        <v>1692</v>
      </c>
      <c r="I85" s="127">
        <f>PRODUCT(H85/12/559.4)</f>
        <v>0.2520557740436182</v>
      </c>
    </row>
    <row r="86" spans="1:9" ht="15.75" customHeight="1">
      <c r="A86" s="134" t="s">
        <v>56</v>
      </c>
      <c r="B86" s="134"/>
      <c r="C86" s="22"/>
      <c r="D86" s="135" t="s">
        <v>32</v>
      </c>
      <c r="E86" s="135"/>
      <c r="F86" s="135"/>
      <c r="G86" s="21">
        <v>9</v>
      </c>
      <c r="H86" s="16"/>
      <c r="I86" s="127"/>
    </row>
    <row r="87" spans="1:9" ht="25.5">
      <c r="A87" s="24">
        <v>96</v>
      </c>
      <c r="B87" s="24" t="s">
        <v>168</v>
      </c>
      <c r="C87" s="10">
        <v>2</v>
      </c>
      <c r="D87" s="25" t="s">
        <v>169</v>
      </c>
      <c r="E87" s="25"/>
      <c r="F87" s="26" t="s">
        <v>170</v>
      </c>
      <c r="G87" s="16">
        <v>3</v>
      </c>
      <c r="H87" s="16">
        <v>1474</v>
      </c>
      <c r="I87" s="127">
        <f aca="true" t="shared" si="0" ref="I87:I98">PRODUCT(H87/12/559.4)</f>
        <v>0.21958050291979503</v>
      </c>
    </row>
    <row r="88" spans="1:9" ht="25.5">
      <c r="A88" s="24">
        <v>98</v>
      </c>
      <c r="B88" s="24" t="s">
        <v>36</v>
      </c>
      <c r="C88" s="10">
        <v>3</v>
      </c>
      <c r="D88" s="25" t="s">
        <v>37</v>
      </c>
      <c r="E88" s="25"/>
      <c r="F88" s="26" t="s">
        <v>35</v>
      </c>
      <c r="G88" s="16">
        <v>3</v>
      </c>
      <c r="H88" s="16">
        <v>1198</v>
      </c>
      <c r="I88" s="127">
        <f t="shared" si="0"/>
        <v>0.17846502204743178</v>
      </c>
    </row>
    <row r="89" spans="1:9" ht="15.75">
      <c r="A89" s="24">
        <v>99</v>
      </c>
      <c r="B89" s="24" t="s">
        <v>171</v>
      </c>
      <c r="C89" s="10">
        <v>4</v>
      </c>
      <c r="D89" s="25" t="s">
        <v>172</v>
      </c>
      <c r="E89" s="25"/>
      <c r="F89" s="26" t="s">
        <v>74</v>
      </c>
      <c r="G89" s="16">
        <v>3</v>
      </c>
      <c r="H89" s="16">
        <v>842</v>
      </c>
      <c r="I89" s="127">
        <f t="shared" si="0"/>
        <v>0.12543201048742703</v>
      </c>
    </row>
    <row r="90" spans="1:9" ht="25.5">
      <c r="A90" s="24">
        <v>100</v>
      </c>
      <c r="B90" s="24" t="s">
        <v>38</v>
      </c>
      <c r="C90" s="10">
        <v>5</v>
      </c>
      <c r="D90" s="25" t="s">
        <v>39</v>
      </c>
      <c r="E90" s="25"/>
      <c r="F90" s="26" t="s">
        <v>40</v>
      </c>
      <c r="G90" s="16">
        <v>0.03</v>
      </c>
      <c r="H90" s="16">
        <v>156</v>
      </c>
      <c r="I90" s="127">
        <f t="shared" si="0"/>
        <v>0.023239184840900966</v>
      </c>
    </row>
    <row r="91" spans="1:9" ht="15.75">
      <c r="A91" s="24">
        <v>104</v>
      </c>
      <c r="B91" s="24" t="s">
        <v>173</v>
      </c>
      <c r="C91" s="10">
        <v>6</v>
      </c>
      <c r="D91" s="25" t="s">
        <v>174</v>
      </c>
      <c r="E91" s="25"/>
      <c r="F91" s="26" t="s">
        <v>175</v>
      </c>
      <c r="G91" s="16">
        <v>0.1</v>
      </c>
      <c r="H91" s="16">
        <v>135</v>
      </c>
      <c r="I91" s="127">
        <f t="shared" si="0"/>
        <v>0.020110833035395067</v>
      </c>
    </row>
    <row r="92" spans="1:9" ht="15.75">
      <c r="A92" s="24">
        <v>105</v>
      </c>
      <c r="B92" s="24" t="s">
        <v>176</v>
      </c>
      <c r="C92" s="10">
        <v>7</v>
      </c>
      <c r="D92" s="25" t="s">
        <v>177</v>
      </c>
      <c r="E92" s="25"/>
      <c r="F92" s="26" t="s">
        <v>178</v>
      </c>
      <c r="G92" s="16">
        <v>1</v>
      </c>
      <c r="H92" s="16">
        <v>259</v>
      </c>
      <c r="I92" s="127">
        <f t="shared" si="0"/>
        <v>0.03858300560123942</v>
      </c>
    </row>
    <row r="93" spans="1:9" ht="15.75">
      <c r="A93" s="24">
        <v>109</v>
      </c>
      <c r="B93" s="24" t="s">
        <v>179</v>
      </c>
      <c r="C93" s="10">
        <v>8</v>
      </c>
      <c r="D93" s="25" t="s">
        <v>180</v>
      </c>
      <c r="E93" s="25"/>
      <c r="F93" s="26" t="s">
        <v>111</v>
      </c>
      <c r="G93" s="16">
        <v>1</v>
      </c>
      <c r="H93" s="16">
        <v>138</v>
      </c>
      <c r="I93" s="127">
        <f t="shared" si="0"/>
        <v>0.020557740436181624</v>
      </c>
    </row>
    <row r="94" spans="1:9" ht="15.75">
      <c r="A94" s="24">
        <v>112</v>
      </c>
      <c r="B94" s="24" t="s">
        <v>181</v>
      </c>
      <c r="C94" s="10">
        <v>9</v>
      </c>
      <c r="D94" s="25" t="s">
        <v>182</v>
      </c>
      <c r="E94" s="25"/>
      <c r="F94" s="26" t="s">
        <v>183</v>
      </c>
      <c r="G94" s="16">
        <v>1</v>
      </c>
      <c r="H94" s="16">
        <v>163</v>
      </c>
      <c r="I94" s="127">
        <f t="shared" si="0"/>
        <v>0.024281968776069602</v>
      </c>
    </row>
    <row r="95" spans="1:9" ht="15.75">
      <c r="A95" s="24">
        <v>113</v>
      </c>
      <c r="B95" s="24" t="s">
        <v>184</v>
      </c>
      <c r="C95" s="10">
        <v>10</v>
      </c>
      <c r="D95" s="25" t="s">
        <v>185</v>
      </c>
      <c r="E95" s="25"/>
      <c r="F95" s="26" t="s">
        <v>111</v>
      </c>
      <c r="G95" s="16">
        <v>1</v>
      </c>
      <c r="H95" s="16">
        <v>53</v>
      </c>
      <c r="I95" s="127">
        <f t="shared" si="0"/>
        <v>0.007895364080562508</v>
      </c>
    </row>
    <row r="96" spans="1:9" ht="15.75">
      <c r="A96" s="24">
        <v>117</v>
      </c>
      <c r="B96" s="24" t="s">
        <v>186</v>
      </c>
      <c r="C96" s="10">
        <v>11</v>
      </c>
      <c r="D96" s="25" t="s">
        <v>187</v>
      </c>
      <c r="E96" s="25"/>
      <c r="F96" s="26" t="s">
        <v>175</v>
      </c>
      <c r="G96" s="16">
        <v>0.1</v>
      </c>
      <c r="H96" s="16">
        <v>59</v>
      </c>
      <c r="I96" s="127">
        <f t="shared" si="0"/>
        <v>0.008789178882135623</v>
      </c>
    </row>
    <row r="97" spans="1:9" ht="15.75">
      <c r="A97" s="24">
        <v>118</v>
      </c>
      <c r="B97" s="24" t="s">
        <v>188</v>
      </c>
      <c r="C97" s="10">
        <v>12</v>
      </c>
      <c r="D97" s="25" t="s">
        <v>189</v>
      </c>
      <c r="E97" s="25"/>
      <c r="F97" s="26" t="s">
        <v>175</v>
      </c>
      <c r="G97" s="16">
        <v>0.1</v>
      </c>
      <c r="H97" s="16">
        <v>62</v>
      </c>
      <c r="I97" s="127">
        <f t="shared" si="0"/>
        <v>0.00923608628292218</v>
      </c>
    </row>
    <row r="98" spans="1:9" ht="25.5">
      <c r="A98" s="24">
        <v>137</v>
      </c>
      <c r="B98" s="24" t="s">
        <v>190</v>
      </c>
      <c r="C98" s="10">
        <v>13</v>
      </c>
      <c r="D98" s="25" t="s">
        <v>191</v>
      </c>
      <c r="E98" s="25"/>
      <c r="F98" s="26" t="s">
        <v>111</v>
      </c>
      <c r="G98" s="16">
        <v>9</v>
      </c>
      <c r="H98" s="16">
        <v>624</v>
      </c>
      <c r="I98" s="127">
        <f t="shared" si="0"/>
        <v>0.09295673936360387</v>
      </c>
    </row>
    <row r="99" spans="1:9" ht="15.75" customHeight="1">
      <c r="A99" s="134" t="s">
        <v>126</v>
      </c>
      <c r="B99" s="134"/>
      <c r="C99" s="22"/>
      <c r="D99" s="135" t="s">
        <v>47</v>
      </c>
      <c r="E99" s="135"/>
      <c r="F99" s="135"/>
      <c r="G99" s="21">
        <v>9</v>
      </c>
      <c r="H99" s="16"/>
      <c r="I99" s="127"/>
    </row>
    <row r="100" spans="1:9" ht="25.5">
      <c r="A100" s="24">
        <v>189</v>
      </c>
      <c r="B100" s="24" t="s">
        <v>48</v>
      </c>
      <c r="C100" s="10">
        <v>14</v>
      </c>
      <c r="D100" s="25" t="s">
        <v>49</v>
      </c>
      <c r="E100" s="25"/>
      <c r="F100" s="26" t="s">
        <v>40</v>
      </c>
      <c r="G100" s="16">
        <v>1.6</v>
      </c>
      <c r="H100" s="16">
        <v>4416</v>
      </c>
      <c r="I100" s="127">
        <f>PRODUCT(H100/12/559.4)</f>
        <v>0.657847693957812</v>
      </c>
    </row>
    <row r="101" spans="1:9" ht="12.75" customHeight="1" hidden="1">
      <c r="A101" s="134" t="s">
        <v>131</v>
      </c>
      <c r="B101" s="134"/>
      <c r="C101" s="22"/>
      <c r="D101" s="135" t="s">
        <v>192</v>
      </c>
      <c r="E101" s="135"/>
      <c r="F101" s="135"/>
      <c r="G101" s="21">
        <v>9</v>
      </c>
      <c r="H101" s="21"/>
      <c r="I101" s="127"/>
    </row>
    <row r="102" spans="1:9" ht="15.75" customHeight="1">
      <c r="A102" s="24"/>
      <c r="B102" s="134" t="s">
        <v>193</v>
      </c>
      <c r="C102" s="134"/>
      <c r="D102" s="134"/>
      <c r="E102" s="134"/>
      <c r="F102" s="134"/>
      <c r="G102" s="21">
        <v>9</v>
      </c>
      <c r="H102" s="16"/>
      <c r="I102" s="127"/>
    </row>
    <row r="103" spans="1:9" ht="15.75" customHeight="1">
      <c r="A103" s="134" t="s">
        <v>25</v>
      </c>
      <c r="B103" s="134"/>
      <c r="C103" s="22"/>
      <c r="D103" s="135" t="s">
        <v>194</v>
      </c>
      <c r="E103" s="135"/>
      <c r="F103" s="135"/>
      <c r="G103" s="21">
        <v>9</v>
      </c>
      <c r="H103" s="16"/>
      <c r="I103" s="127"/>
    </row>
    <row r="104" spans="1:9" ht="38.25">
      <c r="A104" s="24">
        <v>299</v>
      </c>
      <c r="B104" s="24" t="s">
        <v>195</v>
      </c>
      <c r="C104" s="10">
        <v>15</v>
      </c>
      <c r="D104" s="29" t="s">
        <v>196</v>
      </c>
      <c r="E104" s="29"/>
      <c r="F104" s="26" t="s">
        <v>40</v>
      </c>
      <c r="G104" s="16">
        <v>1.2</v>
      </c>
      <c r="H104" s="16">
        <v>4446</v>
      </c>
      <c r="I104" s="127">
        <f>PRODUCT(H104/12/559.4)</f>
        <v>0.6623167679656775</v>
      </c>
    </row>
    <row r="105" spans="1:9" ht="15.75">
      <c r="A105" s="24">
        <v>301</v>
      </c>
      <c r="B105" s="24" t="s">
        <v>197</v>
      </c>
      <c r="C105" s="10">
        <v>16</v>
      </c>
      <c r="D105" s="29" t="s">
        <v>198</v>
      </c>
      <c r="E105" s="29"/>
      <c r="F105" s="26" t="s">
        <v>40</v>
      </c>
      <c r="G105" s="16">
        <v>1.2</v>
      </c>
      <c r="H105" s="16">
        <v>1224</v>
      </c>
      <c r="I105" s="127">
        <f>PRODUCT(H105/12/559.4)</f>
        <v>0.18233821952091528</v>
      </c>
    </row>
    <row r="106" spans="1:9" ht="15.75" customHeight="1">
      <c r="A106" s="134" t="s">
        <v>31</v>
      </c>
      <c r="B106" s="134"/>
      <c r="C106" s="22"/>
      <c r="D106" s="135" t="s">
        <v>199</v>
      </c>
      <c r="E106" s="135"/>
      <c r="F106" s="135"/>
      <c r="G106" s="21">
        <v>9</v>
      </c>
      <c r="H106" s="16"/>
      <c r="I106" s="127"/>
    </row>
    <row r="107" spans="1:9" ht="25.5">
      <c r="A107" s="24">
        <v>332</v>
      </c>
      <c r="B107" s="24" t="s">
        <v>200</v>
      </c>
      <c r="C107" s="10">
        <v>17</v>
      </c>
      <c r="D107" s="29" t="s">
        <v>201</v>
      </c>
      <c r="E107" s="29"/>
      <c r="F107" s="26" t="s">
        <v>40</v>
      </c>
      <c r="G107" s="16">
        <v>15.78</v>
      </c>
      <c r="H107" s="16">
        <v>4598</v>
      </c>
      <c r="I107" s="127">
        <f aca="true" t="shared" si="1" ref="I107:I119">PRODUCT(H107/12/559.4)</f>
        <v>0.6849600762721965</v>
      </c>
    </row>
    <row r="108" spans="1:9" ht="38.25">
      <c r="A108" s="24">
        <v>383</v>
      </c>
      <c r="B108" s="24" t="s">
        <v>202</v>
      </c>
      <c r="C108" s="10">
        <v>18</v>
      </c>
      <c r="D108" s="25" t="s">
        <v>203</v>
      </c>
      <c r="E108" s="25"/>
      <c r="F108" s="26" t="s">
        <v>40</v>
      </c>
      <c r="G108" s="16">
        <v>34.032</v>
      </c>
      <c r="H108" s="16">
        <v>31678</v>
      </c>
      <c r="I108" s="127">
        <f t="shared" si="1"/>
        <v>4.719044214038852</v>
      </c>
    </row>
    <row r="109" spans="1:9" ht="38.25">
      <c r="A109" s="24">
        <v>389</v>
      </c>
      <c r="B109" s="24" t="s">
        <v>204</v>
      </c>
      <c r="C109" s="10">
        <v>19</v>
      </c>
      <c r="D109" s="25" t="s">
        <v>205</v>
      </c>
      <c r="E109" s="25"/>
      <c r="F109" s="26" t="s">
        <v>40</v>
      </c>
      <c r="G109" s="16">
        <v>6.12</v>
      </c>
      <c r="H109" s="16">
        <v>7449</v>
      </c>
      <c r="I109" s="127">
        <f t="shared" si="1"/>
        <v>1.109671076153021</v>
      </c>
    </row>
    <row r="110" spans="1:9" ht="38.25">
      <c r="A110" s="24">
        <v>397</v>
      </c>
      <c r="B110" s="24" t="s">
        <v>206</v>
      </c>
      <c r="C110" s="10">
        <v>20</v>
      </c>
      <c r="D110" s="29" t="s">
        <v>207</v>
      </c>
      <c r="E110" s="29"/>
      <c r="F110" s="26" t="s">
        <v>40</v>
      </c>
      <c r="G110" s="16">
        <v>2.772</v>
      </c>
      <c r="H110" s="16">
        <v>6232</v>
      </c>
      <c r="I110" s="127">
        <f t="shared" si="1"/>
        <v>0.9283756405672746</v>
      </c>
    </row>
    <row r="111" spans="1:9" ht="38.25">
      <c r="A111" s="24">
        <v>401</v>
      </c>
      <c r="B111" s="24" t="s">
        <v>208</v>
      </c>
      <c r="C111" s="10">
        <v>21</v>
      </c>
      <c r="D111" s="25" t="s">
        <v>209</v>
      </c>
      <c r="E111" s="25"/>
      <c r="F111" s="26" t="s">
        <v>40</v>
      </c>
      <c r="G111" s="16">
        <v>5.832</v>
      </c>
      <c r="H111" s="16">
        <v>7015</v>
      </c>
      <c r="I111" s="127">
        <f t="shared" si="1"/>
        <v>1.045018472172566</v>
      </c>
    </row>
    <row r="112" spans="1:9" ht="38.25">
      <c r="A112" s="24">
        <v>409</v>
      </c>
      <c r="B112" s="24" t="s">
        <v>210</v>
      </c>
      <c r="C112" s="10">
        <v>22</v>
      </c>
      <c r="D112" s="29" t="s">
        <v>211</v>
      </c>
      <c r="E112" s="29"/>
      <c r="F112" s="26" t="s">
        <v>40</v>
      </c>
      <c r="G112" s="16">
        <v>17.088</v>
      </c>
      <c r="H112" s="16">
        <v>18019</v>
      </c>
      <c r="I112" s="127">
        <f t="shared" si="1"/>
        <v>2.684274818257657</v>
      </c>
    </row>
    <row r="113" spans="1:9" ht="38.25">
      <c r="A113" s="24">
        <v>413</v>
      </c>
      <c r="B113" s="24" t="s">
        <v>212</v>
      </c>
      <c r="C113" s="10">
        <v>23</v>
      </c>
      <c r="D113" s="25" t="s">
        <v>213</v>
      </c>
      <c r="E113" s="25"/>
      <c r="F113" s="26" t="s">
        <v>40</v>
      </c>
      <c r="G113" s="16">
        <v>22.59</v>
      </c>
      <c r="H113" s="16">
        <v>16237</v>
      </c>
      <c r="I113" s="127">
        <f t="shared" si="1"/>
        <v>2.418811822190442</v>
      </c>
    </row>
    <row r="114" spans="1:9" ht="51">
      <c r="A114" s="24">
        <v>455</v>
      </c>
      <c r="B114" s="24" t="s">
        <v>214</v>
      </c>
      <c r="C114" s="10">
        <v>24</v>
      </c>
      <c r="D114" s="25" t="s">
        <v>215</v>
      </c>
      <c r="E114" s="25"/>
      <c r="F114" s="26" t="s">
        <v>40</v>
      </c>
      <c r="G114" s="16">
        <v>1.38</v>
      </c>
      <c r="H114" s="16">
        <v>1559</v>
      </c>
      <c r="I114" s="127">
        <f t="shared" si="1"/>
        <v>0.23224287927541412</v>
      </c>
    </row>
    <row r="115" spans="1:9" ht="25.5">
      <c r="A115" s="24">
        <v>461</v>
      </c>
      <c r="B115" s="24" t="s">
        <v>216</v>
      </c>
      <c r="C115" s="10">
        <v>25</v>
      </c>
      <c r="D115" s="29" t="s">
        <v>217</v>
      </c>
      <c r="E115" s="29"/>
      <c r="F115" s="26" t="s">
        <v>40</v>
      </c>
      <c r="G115" s="16">
        <v>14.24</v>
      </c>
      <c r="H115" s="16">
        <v>1006</v>
      </c>
      <c r="I115" s="127">
        <f t="shared" si="1"/>
        <v>0.14986294839709213</v>
      </c>
    </row>
    <row r="116" spans="1:9" ht="25.5">
      <c r="A116" s="24">
        <v>463</v>
      </c>
      <c r="B116" s="24" t="s">
        <v>218</v>
      </c>
      <c r="C116" s="10">
        <v>26</v>
      </c>
      <c r="D116" s="25" t="s">
        <v>219</v>
      </c>
      <c r="E116" s="25"/>
      <c r="F116" s="26" t="s">
        <v>40</v>
      </c>
      <c r="G116" s="16">
        <v>3.55</v>
      </c>
      <c r="H116" s="16">
        <v>459</v>
      </c>
      <c r="I116" s="127">
        <f t="shared" si="1"/>
        <v>0.06837683232034322</v>
      </c>
    </row>
    <row r="117" spans="1:9" ht="25.5">
      <c r="A117" s="24">
        <v>480</v>
      </c>
      <c r="B117" s="24" t="s">
        <v>220</v>
      </c>
      <c r="C117" s="10">
        <v>27</v>
      </c>
      <c r="D117" s="29" t="s">
        <v>221</v>
      </c>
      <c r="E117" s="29"/>
      <c r="F117" s="26" t="s">
        <v>40</v>
      </c>
      <c r="G117" s="16">
        <v>3</v>
      </c>
      <c r="H117" s="16">
        <v>5579</v>
      </c>
      <c r="I117" s="127">
        <f t="shared" si="1"/>
        <v>0.8310987963294006</v>
      </c>
    </row>
    <row r="118" spans="1:9" ht="25.5">
      <c r="A118" s="31"/>
      <c r="B118" s="32" t="s">
        <v>222</v>
      </c>
      <c r="C118" s="33">
        <v>28</v>
      </c>
      <c r="D118" s="34" t="s">
        <v>223</v>
      </c>
      <c r="E118" s="34"/>
      <c r="F118" s="33" t="s">
        <v>52</v>
      </c>
      <c r="G118" s="33">
        <v>0.2322</v>
      </c>
      <c r="H118" s="33">
        <v>5007</v>
      </c>
      <c r="I118" s="127">
        <f t="shared" si="1"/>
        <v>0.7458884519127637</v>
      </c>
    </row>
    <row r="119" spans="1:9" ht="15.75">
      <c r="A119" s="31"/>
      <c r="B119" s="32" t="s">
        <v>224</v>
      </c>
      <c r="C119" s="33">
        <v>29</v>
      </c>
      <c r="D119" s="34" t="s">
        <v>225</v>
      </c>
      <c r="E119" s="34"/>
      <c r="F119" s="33" t="s">
        <v>52</v>
      </c>
      <c r="G119" s="33">
        <v>0.06</v>
      </c>
      <c r="H119" s="33">
        <v>443</v>
      </c>
      <c r="I119" s="127">
        <f t="shared" si="1"/>
        <v>0.06599332618281492</v>
      </c>
    </row>
    <row r="120" spans="1:9" ht="15.75" customHeight="1">
      <c r="A120" s="134" t="s">
        <v>55</v>
      </c>
      <c r="B120" s="134"/>
      <c r="C120" s="134"/>
      <c r="D120" s="134"/>
      <c r="E120" s="134"/>
      <c r="F120" s="134"/>
      <c r="G120" s="21">
        <v>9</v>
      </c>
      <c r="H120" s="16"/>
      <c r="I120" s="127"/>
    </row>
    <row r="121" spans="1:9" ht="15.75" customHeight="1">
      <c r="A121" s="134" t="s">
        <v>25</v>
      </c>
      <c r="B121" s="134"/>
      <c r="C121" s="22"/>
      <c r="D121" s="135" t="s">
        <v>57</v>
      </c>
      <c r="E121" s="135"/>
      <c r="F121" s="135"/>
      <c r="G121" s="21">
        <v>9</v>
      </c>
      <c r="H121" s="16"/>
      <c r="I121" s="127"/>
    </row>
    <row r="122" spans="1:9" ht="51">
      <c r="A122" s="24">
        <v>577</v>
      </c>
      <c r="B122" s="24" t="s">
        <v>86</v>
      </c>
      <c r="C122" s="10">
        <v>30</v>
      </c>
      <c r="D122" s="29" t="s">
        <v>87</v>
      </c>
      <c r="E122" s="29"/>
      <c r="F122" s="26" t="s">
        <v>88</v>
      </c>
      <c r="G122" s="16">
        <v>1</v>
      </c>
      <c r="H122" s="16">
        <v>3464</v>
      </c>
      <c r="I122" s="127">
        <f>PRODUCT(H122/12/559.4)</f>
        <v>0.5160290787748779</v>
      </c>
    </row>
    <row r="123" spans="1:9" ht="15.75">
      <c r="A123" s="24">
        <v>587</v>
      </c>
      <c r="B123" s="24" t="s">
        <v>89</v>
      </c>
      <c r="C123" s="10">
        <v>31</v>
      </c>
      <c r="D123" s="29" t="s">
        <v>90</v>
      </c>
      <c r="E123" s="29"/>
      <c r="F123" s="26" t="s">
        <v>74</v>
      </c>
      <c r="G123" s="16">
        <v>12</v>
      </c>
      <c r="H123" s="16">
        <v>424</v>
      </c>
      <c r="I123" s="127">
        <f>PRODUCT(H123/12/559.4)</f>
        <v>0.06316291264450007</v>
      </c>
    </row>
    <row r="124" spans="1:9" ht="25.5">
      <c r="A124" s="24">
        <v>588</v>
      </c>
      <c r="B124" s="24" t="s">
        <v>91</v>
      </c>
      <c r="C124" s="10">
        <v>32</v>
      </c>
      <c r="D124" s="29" t="s">
        <v>92</v>
      </c>
      <c r="E124" s="29"/>
      <c r="F124" s="26" t="s">
        <v>74</v>
      </c>
      <c r="G124" s="16">
        <v>12</v>
      </c>
      <c r="H124" s="16">
        <v>1236</v>
      </c>
      <c r="I124" s="127">
        <f>PRODUCT(H124/12/559.4)</f>
        <v>0.1841258491240615</v>
      </c>
    </row>
    <row r="125" spans="1:9" ht="15.75" customHeight="1">
      <c r="A125" s="134" t="s">
        <v>31</v>
      </c>
      <c r="B125" s="134"/>
      <c r="C125" s="22"/>
      <c r="D125" s="135" t="s">
        <v>98</v>
      </c>
      <c r="E125" s="135"/>
      <c r="F125" s="135"/>
      <c r="G125" s="21">
        <v>9</v>
      </c>
      <c r="H125" s="16"/>
      <c r="I125" s="127"/>
    </row>
    <row r="126" spans="1:9" ht="25.5">
      <c r="A126" s="24">
        <v>620</v>
      </c>
      <c r="B126" s="24" t="s">
        <v>226</v>
      </c>
      <c r="C126" s="10">
        <v>33</v>
      </c>
      <c r="D126" s="29" t="s">
        <v>227</v>
      </c>
      <c r="E126" s="29"/>
      <c r="F126" s="26" t="s">
        <v>74</v>
      </c>
      <c r="G126" s="16">
        <v>2</v>
      </c>
      <c r="H126" s="16">
        <v>709</v>
      </c>
      <c r="I126" s="127">
        <f aca="true" t="shared" si="2" ref="I126:I135">PRODUCT(H126/12/559.4)</f>
        <v>0.10561911571922299</v>
      </c>
    </row>
    <row r="127" spans="1:9" ht="15.75">
      <c r="A127" s="24">
        <v>664</v>
      </c>
      <c r="B127" s="24" t="s">
        <v>228</v>
      </c>
      <c r="C127" s="10">
        <v>34</v>
      </c>
      <c r="D127" s="29" t="s">
        <v>229</v>
      </c>
      <c r="E127" s="29"/>
      <c r="F127" s="26" t="s">
        <v>74</v>
      </c>
      <c r="G127" s="16">
        <v>3</v>
      </c>
      <c r="H127" s="16">
        <v>345</v>
      </c>
      <c r="I127" s="127">
        <f t="shared" si="2"/>
        <v>0.05139435109045406</v>
      </c>
    </row>
    <row r="128" spans="1:9" ht="38.25">
      <c r="A128" s="24">
        <v>671</v>
      </c>
      <c r="B128" s="24" t="s">
        <v>230</v>
      </c>
      <c r="C128" s="10">
        <v>35</v>
      </c>
      <c r="D128" s="29" t="s">
        <v>231</v>
      </c>
      <c r="E128" s="29"/>
      <c r="F128" s="26" t="s">
        <v>61</v>
      </c>
      <c r="G128" s="16">
        <v>1</v>
      </c>
      <c r="H128" s="16">
        <v>1308</v>
      </c>
      <c r="I128" s="127">
        <f t="shared" si="2"/>
        <v>0.19485162674293888</v>
      </c>
    </row>
    <row r="129" spans="1:9" ht="38.25">
      <c r="A129" s="24">
        <v>672</v>
      </c>
      <c r="B129" s="24" t="s">
        <v>232</v>
      </c>
      <c r="C129" s="10">
        <v>36</v>
      </c>
      <c r="D129" s="29" t="s">
        <v>233</v>
      </c>
      <c r="E129" s="29"/>
      <c r="F129" s="26" t="s">
        <v>61</v>
      </c>
      <c r="G129" s="16">
        <v>1</v>
      </c>
      <c r="H129" s="16">
        <v>1597</v>
      </c>
      <c r="I129" s="127">
        <f t="shared" si="2"/>
        <v>0.2379037063520439</v>
      </c>
    </row>
    <row r="130" spans="1:9" ht="25.5">
      <c r="A130" s="24">
        <v>678</v>
      </c>
      <c r="B130" s="24" t="s">
        <v>234</v>
      </c>
      <c r="C130" s="10">
        <v>37</v>
      </c>
      <c r="D130" s="29" t="s">
        <v>235</v>
      </c>
      <c r="E130" s="29"/>
      <c r="F130" s="26" t="s">
        <v>61</v>
      </c>
      <c r="G130" s="16">
        <v>1</v>
      </c>
      <c r="H130" s="16">
        <v>452</v>
      </c>
      <c r="I130" s="127">
        <f t="shared" si="2"/>
        <v>0.0673340483851746</v>
      </c>
    </row>
    <row r="131" spans="1:9" ht="25.5">
      <c r="A131" s="24">
        <v>679</v>
      </c>
      <c r="B131" s="24" t="s">
        <v>236</v>
      </c>
      <c r="C131" s="10">
        <v>38</v>
      </c>
      <c r="D131" s="29" t="s">
        <v>237</v>
      </c>
      <c r="E131" s="29"/>
      <c r="F131" s="26" t="s">
        <v>61</v>
      </c>
      <c r="G131" s="16">
        <v>1</v>
      </c>
      <c r="H131" s="16">
        <v>495</v>
      </c>
      <c r="I131" s="127">
        <f t="shared" si="2"/>
        <v>0.07373972112978192</v>
      </c>
    </row>
    <row r="132" spans="1:9" ht="15.75">
      <c r="A132" s="24">
        <v>685</v>
      </c>
      <c r="B132" s="24" t="s">
        <v>99</v>
      </c>
      <c r="C132" s="10">
        <v>39</v>
      </c>
      <c r="D132" s="29" t="s">
        <v>100</v>
      </c>
      <c r="E132" s="29"/>
      <c r="F132" s="26" t="s">
        <v>61</v>
      </c>
      <c r="G132" s="16">
        <v>15</v>
      </c>
      <c r="H132" s="16">
        <v>737</v>
      </c>
      <c r="I132" s="127">
        <f t="shared" si="2"/>
        <v>0.10979025145989751</v>
      </c>
    </row>
    <row r="133" spans="1:9" ht="15.75">
      <c r="A133" s="24">
        <v>689</v>
      </c>
      <c r="B133" s="24" t="s">
        <v>238</v>
      </c>
      <c r="C133" s="10">
        <v>40</v>
      </c>
      <c r="D133" s="29" t="s">
        <v>239</v>
      </c>
      <c r="E133" s="29"/>
      <c r="F133" s="26" t="s">
        <v>240</v>
      </c>
      <c r="G133" s="16">
        <v>2</v>
      </c>
      <c r="H133" s="16">
        <v>168</v>
      </c>
      <c r="I133" s="127">
        <f t="shared" si="2"/>
        <v>0.025026814444047193</v>
      </c>
    </row>
    <row r="134" spans="1:9" ht="15.75">
      <c r="A134" s="24">
        <v>690</v>
      </c>
      <c r="B134" s="24" t="s">
        <v>241</v>
      </c>
      <c r="C134" s="10">
        <v>41</v>
      </c>
      <c r="D134" s="29" t="s">
        <v>242</v>
      </c>
      <c r="E134" s="29"/>
      <c r="F134" s="26" t="s">
        <v>240</v>
      </c>
      <c r="G134" s="16">
        <v>2</v>
      </c>
      <c r="H134" s="16">
        <v>138</v>
      </c>
      <c r="I134" s="127">
        <f t="shared" si="2"/>
        <v>0.020557740436181624</v>
      </c>
    </row>
    <row r="135" spans="1:9" ht="15.75">
      <c r="A135" s="24">
        <v>693</v>
      </c>
      <c r="B135" s="24" t="s">
        <v>243</v>
      </c>
      <c r="C135" s="10">
        <v>42</v>
      </c>
      <c r="D135" s="29" t="s">
        <v>244</v>
      </c>
      <c r="E135" s="29"/>
      <c r="F135" s="26" t="s">
        <v>245</v>
      </c>
      <c r="G135" s="16">
        <v>1</v>
      </c>
      <c r="H135" s="16">
        <v>396</v>
      </c>
      <c r="I135" s="127">
        <f t="shared" si="2"/>
        <v>0.05899177690382553</v>
      </c>
    </row>
    <row r="136" spans="1:9" ht="15.75" customHeight="1">
      <c r="A136" s="134" t="s">
        <v>101</v>
      </c>
      <c r="B136" s="134"/>
      <c r="C136" s="22"/>
      <c r="D136" s="135" t="s">
        <v>102</v>
      </c>
      <c r="E136" s="135"/>
      <c r="F136" s="135"/>
      <c r="G136" s="21">
        <v>9</v>
      </c>
      <c r="H136" s="16"/>
      <c r="I136" s="127"/>
    </row>
    <row r="137" spans="1:9" ht="15.75">
      <c r="A137" s="24">
        <v>712</v>
      </c>
      <c r="B137" s="24" t="s">
        <v>103</v>
      </c>
      <c r="C137" s="10">
        <v>43</v>
      </c>
      <c r="D137" s="25" t="s">
        <v>104</v>
      </c>
      <c r="E137" s="25"/>
      <c r="F137" s="26" t="s">
        <v>105</v>
      </c>
      <c r="G137" s="16">
        <v>0.6</v>
      </c>
      <c r="H137" s="16">
        <v>155</v>
      </c>
      <c r="I137" s="127">
        <f>PRODUCT(H137/12/559.4)</f>
        <v>0.023090215707305448</v>
      </c>
    </row>
    <row r="138" spans="1:9" ht="25.5">
      <c r="A138" s="24">
        <v>723</v>
      </c>
      <c r="B138" s="24" t="s">
        <v>246</v>
      </c>
      <c r="C138" s="10">
        <v>44</v>
      </c>
      <c r="D138" s="25" t="s">
        <v>247</v>
      </c>
      <c r="E138" s="25"/>
      <c r="F138" s="26" t="s">
        <v>111</v>
      </c>
      <c r="G138" s="16">
        <v>7</v>
      </c>
      <c r="H138" s="16">
        <v>206</v>
      </c>
      <c r="I138" s="127">
        <f>PRODUCT(H138/12/559.4)</f>
        <v>0.03068764152067692</v>
      </c>
    </row>
    <row r="139" spans="1:9" ht="15.75">
      <c r="A139" s="24">
        <v>726</v>
      </c>
      <c r="B139" s="24" t="s">
        <v>106</v>
      </c>
      <c r="C139" s="10">
        <v>45</v>
      </c>
      <c r="D139" s="25" t="s">
        <v>107</v>
      </c>
      <c r="E139" s="25"/>
      <c r="F139" s="26" t="s">
        <v>108</v>
      </c>
      <c r="G139" s="16">
        <v>7.5</v>
      </c>
      <c r="H139" s="16">
        <v>400</v>
      </c>
      <c r="I139" s="127">
        <f>PRODUCT(H139/12/559.4)</f>
        <v>0.05958765343820761</v>
      </c>
    </row>
    <row r="140" spans="1:9" ht="15.75">
      <c r="A140" s="24">
        <v>730</v>
      </c>
      <c r="B140" s="24" t="s">
        <v>109</v>
      </c>
      <c r="C140" s="10">
        <v>46</v>
      </c>
      <c r="D140" s="25" t="s">
        <v>110</v>
      </c>
      <c r="E140" s="25"/>
      <c r="F140" s="26" t="s">
        <v>111</v>
      </c>
      <c r="G140" s="16">
        <v>12</v>
      </c>
      <c r="H140" s="16">
        <v>228</v>
      </c>
      <c r="I140" s="127">
        <f>PRODUCT(H140/12/559.4)</f>
        <v>0.033964962459778335</v>
      </c>
    </row>
    <row r="141" spans="1:9" ht="15.75">
      <c r="A141" s="24">
        <v>753</v>
      </c>
      <c r="B141" s="24" t="s">
        <v>248</v>
      </c>
      <c r="C141" s="10">
        <v>47</v>
      </c>
      <c r="D141" s="25" t="s">
        <v>249</v>
      </c>
      <c r="E141" s="25"/>
      <c r="F141" s="26" t="s">
        <v>111</v>
      </c>
      <c r="G141" s="16">
        <v>3</v>
      </c>
      <c r="H141" s="16">
        <v>201</v>
      </c>
      <c r="I141" s="127">
        <f>PRODUCT(H141/12/559.4)</f>
        <v>0.029942795852699322</v>
      </c>
    </row>
    <row r="142" spans="1:9" ht="12.75" customHeight="1" hidden="1">
      <c r="A142" s="134"/>
      <c r="B142" s="134"/>
      <c r="C142" s="22"/>
      <c r="D142" s="135" t="s">
        <v>113</v>
      </c>
      <c r="E142" s="135"/>
      <c r="F142" s="135"/>
      <c r="G142" s="21">
        <v>9</v>
      </c>
      <c r="H142" s="16"/>
      <c r="I142" s="127"/>
    </row>
    <row r="143" spans="1:9" ht="15.75" customHeight="1">
      <c r="A143" s="134" t="s">
        <v>25</v>
      </c>
      <c r="B143" s="134"/>
      <c r="C143" s="22"/>
      <c r="D143" s="135" t="s">
        <v>113</v>
      </c>
      <c r="E143" s="135"/>
      <c r="F143" s="135"/>
      <c r="G143" s="21">
        <v>9</v>
      </c>
      <c r="H143" s="16"/>
      <c r="I143" s="127"/>
    </row>
    <row r="144" spans="1:9" ht="16.5" customHeight="1">
      <c r="A144" s="24">
        <v>756</v>
      </c>
      <c r="B144" s="24" t="s">
        <v>250</v>
      </c>
      <c r="C144" s="10">
        <v>48</v>
      </c>
      <c r="D144" s="25" t="s">
        <v>251</v>
      </c>
      <c r="E144" s="25"/>
      <c r="F144" s="26" t="s">
        <v>252</v>
      </c>
      <c r="G144" s="16">
        <v>18.72</v>
      </c>
      <c r="H144" s="16">
        <v>632</v>
      </c>
      <c r="I144" s="127">
        <f aca="true" t="shared" si="3" ref="I144:I153">PRODUCT(H144/12/559.4)</f>
        <v>0.09414849243236802</v>
      </c>
    </row>
    <row r="145" spans="1:9" ht="15.75">
      <c r="A145" s="24">
        <v>757</v>
      </c>
      <c r="B145" s="24" t="s">
        <v>253</v>
      </c>
      <c r="C145" s="10">
        <v>49</v>
      </c>
      <c r="D145" s="25" t="s">
        <v>254</v>
      </c>
      <c r="E145" s="25"/>
      <c r="F145" s="26" t="s">
        <v>252</v>
      </c>
      <c r="G145" s="16">
        <v>18.72</v>
      </c>
      <c r="H145" s="16">
        <v>5531</v>
      </c>
      <c r="I145" s="127">
        <f t="shared" si="3"/>
        <v>0.8239482779168157</v>
      </c>
    </row>
    <row r="146" spans="1:9" ht="15.75">
      <c r="A146" s="24">
        <v>758</v>
      </c>
      <c r="B146" s="24" t="s">
        <v>255</v>
      </c>
      <c r="C146" s="10">
        <v>50</v>
      </c>
      <c r="D146" s="25" t="s">
        <v>256</v>
      </c>
      <c r="E146" s="25"/>
      <c r="F146" s="26" t="s">
        <v>142</v>
      </c>
      <c r="G146" s="16">
        <v>0.5594</v>
      </c>
      <c r="H146" s="16">
        <v>1126</v>
      </c>
      <c r="I146" s="127">
        <f t="shared" si="3"/>
        <v>0.1677392444285544</v>
      </c>
    </row>
    <row r="147" spans="1:9" ht="15.75">
      <c r="A147" s="24">
        <v>759</v>
      </c>
      <c r="B147" s="24" t="s">
        <v>257</v>
      </c>
      <c r="C147" s="10">
        <v>51</v>
      </c>
      <c r="D147" s="25" t="s">
        <v>258</v>
      </c>
      <c r="E147" s="25"/>
      <c r="F147" s="26" t="s">
        <v>252</v>
      </c>
      <c r="G147" s="16">
        <v>18.72</v>
      </c>
      <c r="H147" s="16">
        <v>922</v>
      </c>
      <c r="I147" s="127">
        <f t="shared" si="3"/>
        <v>0.13734954117506853</v>
      </c>
    </row>
    <row r="148" spans="1:9" ht="15.75">
      <c r="A148" s="24">
        <v>760</v>
      </c>
      <c r="B148" s="24" t="s">
        <v>259</v>
      </c>
      <c r="C148" s="10">
        <v>52</v>
      </c>
      <c r="D148" s="25" t="s">
        <v>260</v>
      </c>
      <c r="E148" s="25"/>
      <c r="F148" s="26" t="s">
        <v>142</v>
      </c>
      <c r="G148" s="16">
        <v>0.5594</v>
      </c>
      <c r="H148" s="16">
        <v>150</v>
      </c>
      <c r="I148" s="127">
        <f t="shared" si="3"/>
        <v>0.022345370039327853</v>
      </c>
    </row>
    <row r="149" spans="1:9" ht="15.75">
      <c r="A149" s="24">
        <v>761</v>
      </c>
      <c r="B149" s="24" t="s">
        <v>261</v>
      </c>
      <c r="C149" s="10">
        <v>53</v>
      </c>
      <c r="D149" s="25" t="s">
        <v>262</v>
      </c>
      <c r="E149" s="25"/>
      <c r="F149" s="26" t="s">
        <v>142</v>
      </c>
      <c r="G149" s="16">
        <v>0.5594</v>
      </c>
      <c r="H149" s="16">
        <v>179</v>
      </c>
      <c r="I149" s="127">
        <f t="shared" si="3"/>
        <v>0.026665474913597904</v>
      </c>
    </row>
    <row r="150" spans="1:9" ht="15.75">
      <c r="A150" s="24">
        <v>762</v>
      </c>
      <c r="B150" s="24" t="s">
        <v>263</v>
      </c>
      <c r="C150" s="10">
        <v>54</v>
      </c>
      <c r="D150" s="25" t="s">
        <v>264</v>
      </c>
      <c r="E150" s="25"/>
      <c r="F150" s="26" t="s">
        <v>142</v>
      </c>
      <c r="G150" s="16">
        <v>0.5594</v>
      </c>
      <c r="H150" s="16">
        <v>150</v>
      </c>
      <c r="I150" s="127">
        <f t="shared" si="3"/>
        <v>0.022345370039327853</v>
      </c>
    </row>
    <row r="151" spans="1:9" ht="25.5">
      <c r="A151" s="24">
        <v>765</v>
      </c>
      <c r="B151" s="24" t="s">
        <v>114</v>
      </c>
      <c r="C151" s="10">
        <v>55</v>
      </c>
      <c r="D151" s="25" t="s">
        <v>115</v>
      </c>
      <c r="E151" s="25"/>
      <c r="F151" s="26" t="s">
        <v>117</v>
      </c>
      <c r="G151" s="16">
        <v>0.06</v>
      </c>
      <c r="H151" s="16">
        <v>76</v>
      </c>
      <c r="I151" s="127">
        <f t="shared" si="3"/>
        <v>0.011321654153259444</v>
      </c>
    </row>
    <row r="152" spans="1:9" ht="15.75">
      <c r="A152" s="24">
        <v>767</v>
      </c>
      <c r="B152" s="24" t="s">
        <v>118</v>
      </c>
      <c r="C152" s="10">
        <v>56</v>
      </c>
      <c r="D152" s="25" t="s">
        <v>119</v>
      </c>
      <c r="E152" s="25"/>
      <c r="F152" s="26" t="s">
        <v>120</v>
      </c>
      <c r="G152" s="16">
        <v>0.03</v>
      </c>
      <c r="H152" s="16">
        <v>79</v>
      </c>
      <c r="I152" s="127">
        <f t="shared" si="3"/>
        <v>0.011768561554046002</v>
      </c>
    </row>
    <row r="153" spans="1:9" ht="15.75">
      <c r="A153" s="24">
        <v>768</v>
      </c>
      <c r="B153" s="24" t="s">
        <v>121</v>
      </c>
      <c r="C153" s="10">
        <v>57</v>
      </c>
      <c r="D153" s="25" t="s">
        <v>265</v>
      </c>
      <c r="E153" s="25"/>
      <c r="F153" s="26" t="s">
        <v>124</v>
      </c>
      <c r="G153" s="16">
        <v>0.12</v>
      </c>
      <c r="H153" s="16">
        <v>1013</v>
      </c>
      <c r="I153" s="127">
        <f t="shared" si="3"/>
        <v>0.15090573233226076</v>
      </c>
    </row>
    <row r="154" spans="1:9" ht="15.75" customHeight="1">
      <c r="A154" s="134" t="s">
        <v>125</v>
      </c>
      <c r="B154" s="134"/>
      <c r="C154" s="134"/>
      <c r="D154" s="134"/>
      <c r="E154" s="134"/>
      <c r="F154" s="134"/>
      <c r="G154" s="21">
        <v>9</v>
      </c>
      <c r="H154" s="16"/>
      <c r="I154" s="127"/>
    </row>
    <row r="155" spans="1:9" ht="15.75" customHeight="1">
      <c r="A155" s="134" t="s">
        <v>25</v>
      </c>
      <c r="B155" s="134"/>
      <c r="C155" s="22"/>
      <c r="D155" s="135" t="s">
        <v>127</v>
      </c>
      <c r="E155" s="135"/>
      <c r="F155" s="135"/>
      <c r="G155" s="21">
        <v>9</v>
      </c>
      <c r="H155" s="16"/>
      <c r="I155" s="127"/>
    </row>
    <row r="156" spans="1:9" ht="25.5">
      <c r="A156" s="24">
        <v>769</v>
      </c>
      <c r="B156" s="24" t="s">
        <v>128</v>
      </c>
      <c r="C156" s="10">
        <v>58</v>
      </c>
      <c r="D156" s="25" t="s">
        <v>129</v>
      </c>
      <c r="E156" s="25"/>
      <c r="F156" s="26" t="s">
        <v>52</v>
      </c>
      <c r="G156" s="16">
        <v>0.35</v>
      </c>
      <c r="H156" s="16">
        <v>28</v>
      </c>
      <c r="I156" s="127">
        <f aca="true" t="shared" si="4" ref="I156:I164">PRODUCT(H156/12/559.4)</f>
        <v>0.004171135740674532</v>
      </c>
    </row>
    <row r="157" spans="1:9" ht="25.5">
      <c r="A157" s="24">
        <v>777</v>
      </c>
      <c r="B157" s="24" t="s">
        <v>266</v>
      </c>
      <c r="C157" s="10">
        <v>59</v>
      </c>
      <c r="D157" s="29" t="s">
        <v>267</v>
      </c>
      <c r="E157" s="29"/>
      <c r="F157" s="26" t="s">
        <v>52</v>
      </c>
      <c r="G157" s="16">
        <v>0.36</v>
      </c>
      <c r="H157" s="16">
        <v>93</v>
      </c>
      <c r="I157" s="127">
        <f t="shared" si="4"/>
        <v>0.013854129424383268</v>
      </c>
    </row>
    <row r="158" spans="1:9" ht="15.75">
      <c r="A158" s="24">
        <v>785</v>
      </c>
      <c r="B158" s="24" t="s">
        <v>268</v>
      </c>
      <c r="C158" s="10">
        <v>60</v>
      </c>
      <c r="D158" s="25" t="s">
        <v>269</v>
      </c>
      <c r="E158" s="25"/>
      <c r="F158" s="26" t="s">
        <v>52</v>
      </c>
      <c r="G158" s="16">
        <v>2.16</v>
      </c>
      <c r="H158" s="16">
        <v>213</v>
      </c>
      <c r="I158" s="127">
        <f t="shared" si="4"/>
        <v>0.03173042545584555</v>
      </c>
    </row>
    <row r="159" spans="1:9" ht="15.75">
      <c r="A159" s="24">
        <v>786</v>
      </c>
      <c r="B159" s="24" t="s">
        <v>270</v>
      </c>
      <c r="C159" s="10">
        <v>61</v>
      </c>
      <c r="D159" s="29" t="s">
        <v>271</v>
      </c>
      <c r="E159" s="29"/>
      <c r="F159" s="26" t="s">
        <v>52</v>
      </c>
      <c r="G159" s="16">
        <v>1.424</v>
      </c>
      <c r="H159" s="16">
        <v>176</v>
      </c>
      <c r="I159" s="127">
        <f t="shared" si="4"/>
        <v>0.026218567512811347</v>
      </c>
    </row>
    <row r="160" spans="1:9" ht="15.75">
      <c r="A160" s="24">
        <v>788</v>
      </c>
      <c r="B160" s="24" t="s">
        <v>272</v>
      </c>
      <c r="C160" s="10">
        <v>62</v>
      </c>
      <c r="D160" s="25" t="s">
        <v>273</v>
      </c>
      <c r="E160" s="25"/>
      <c r="F160" s="26" t="s">
        <v>52</v>
      </c>
      <c r="G160" s="16">
        <v>0.06</v>
      </c>
      <c r="H160" s="16">
        <v>11</v>
      </c>
      <c r="I160" s="127">
        <f t="shared" si="4"/>
        <v>0.0016386604695507092</v>
      </c>
    </row>
    <row r="161" spans="1:9" ht="25.5">
      <c r="A161" s="24">
        <v>790</v>
      </c>
      <c r="B161" s="24" t="s">
        <v>274</v>
      </c>
      <c r="C161" s="10">
        <v>63</v>
      </c>
      <c r="D161" s="25" t="s">
        <v>275</v>
      </c>
      <c r="E161" s="25"/>
      <c r="F161" s="26" t="s">
        <v>52</v>
      </c>
      <c r="G161" s="16">
        <v>0.6</v>
      </c>
      <c r="H161" s="16">
        <v>60</v>
      </c>
      <c r="I161" s="127">
        <f t="shared" si="4"/>
        <v>0.00893814801573114</v>
      </c>
    </row>
    <row r="162" spans="1:9" ht="15.75">
      <c r="A162" s="24">
        <v>791</v>
      </c>
      <c r="B162" s="24" t="s">
        <v>276</v>
      </c>
      <c r="C162" s="10">
        <v>64</v>
      </c>
      <c r="D162" s="25" t="s">
        <v>277</v>
      </c>
      <c r="E162" s="25"/>
      <c r="F162" s="26" t="s">
        <v>52</v>
      </c>
      <c r="G162" s="16">
        <v>0.36</v>
      </c>
      <c r="H162" s="16">
        <v>36</v>
      </c>
      <c r="I162" s="127">
        <f t="shared" si="4"/>
        <v>0.005362888809438684</v>
      </c>
    </row>
    <row r="163" spans="1:9" ht="15.75">
      <c r="A163" s="24">
        <v>800</v>
      </c>
      <c r="B163" s="24" t="s">
        <v>278</v>
      </c>
      <c r="C163" s="10">
        <v>65</v>
      </c>
      <c r="D163" s="25" t="s">
        <v>279</v>
      </c>
      <c r="E163" s="25"/>
      <c r="F163" s="26" t="s">
        <v>52</v>
      </c>
      <c r="G163" s="16">
        <v>6</v>
      </c>
      <c r="H163" s="16">
        <v>975</v>
      </c>
      <c r="I163" s="127">
        <f t="shared" si="4"/>
        <v>0.14524490525563105</v>
      </c>
    </row>
    <row r="164" spans="1:9" ht="15.75">
      <c r="A164" s="24">
        <v>802</v>
      </c>
      <c r="B164" s="24" t="s">
        <v>280</v>
      </c>
      <c r="C164" s="10">
        <v>66</v>
      </c>
      <c r="D164" s="25" t="s">
        <v>281</v>
      </c>
      <c r="E164" s="25"/>
      <c r="F164" s="26" t="s">
        <v>52</v>
      </c>
      <c r="G164" s="16">
        <v>4.05</v>
      </c>
      <c r="H164" s="16">
        <v>1476</v>
      </c>
      <c r="I164" s="127">
        <f t="shared" si="4"/>
        <v>0.21987844118698607</v>
      </c>
    </row>
    <row r="165" spans="1:9" ht="15.75" customHeight="1">
      <c r="A165" s="134" t="s">
        <v>101</v>
      </c>
      <c r="B165" s="134"/>
      <c r="C165" s="22"/>
      <c r="D165" s="135" t="s">
        <v>138</v>
      </c>
      <c r="E165" s="135"/>
      <c r="F165" s="135"/>
      <c r="G165" s="21">
        <v>9</v>
      </c>
      <c r="H165" s="16"/>
      <c r="I165" s="127"/>
    </row>
    <row r="166" spans="1:9" ht="25.5">
      <c r="A166" s="24">
        <v>848</v>
      </c>
      <c r="B166" s="24" t="s">
        <v>139</v>
      </c>
      <c r="C166" s="10">
        <v>67</v>
      </c>
      <c r="D166" s="29" t="s">
        <v>140</v>
      </c>
      <c r="E166" s="29"/>
      <c r="F166" s="26" t="s">
        <v>142</v>
      </c>
      <c r="G166" s="16">
        <v>0.231</v>
      </c>
      <c r="H166" s="16">
        <v>27</v>
      </c>
      <c r="I166" s="127">
        <f aca="true" t="shared" si="5" ref="I166:I172">PRODUCT(H166/12/559.4)</f>
        <v>0.0040221666070790136</v>
      </c>
    </row>
    <row r="167" spans="1:9" ht="15.75">
      <c r="A167" s="24">
        <v>850</v>
      </c>
      <c r="B167" s="24" t="s">
        <v>143</v>
      </c>
      <c r="C167" s="10">
        <v>68</v>
      </c>
      <c r="D167" s="25" t="s">
        <v>144</v>
      </c>
      <c r="E167" s="25"/>
      <c r="F167" s="26" t="s">
        <v>142</v>
      </c>
      <c r="G167" s="16">
        <v>0.09</v>
      </c>
      <c r="H167" s="16">
        <v>17</v>
      </c>
      <c r="I167" s="127">
        <f t="shared" si="5"/>
        <v>0.0025324752711238232</v>
      </c>
    </row>
    <row r="168" spans="1:9" ht="15.75">
      <c r="A168" s="24">
        <v>867</v>
      </c>
      <c r="B168" s="24" t="s">
        <v>145</v>
      </c>
      <c r="C168" s="10">
        <v>69</v>
      </c>
      <c r="D168" s="25" t="s">
        <v>146</v>
      </c>
      <c r="E168" s="25"/>
      <c r="F168" s="26" t="s">
        <v>142</v>
      </c>
      <c r="G168" s="16">
        <v>0.574</v>
      </c>
      <c r="H168" s="16">
        <v>41</v>
      </c>
      <c r="I168" s="127">
        <f t="shared" si="5"/>
        <v>0.006107734477416279</v>
      </c>
    </row>
    <row r="169" spans="1:9" ht="15.75">
      <c r="A169" s="24">
        <v>868</v>
      </c>
      <c r="B169" s="24" t="s">
        <v>147</v>
      </c>
      <c r="C169" s="10">
        <v>70</v>
      </c>
      <c r="D169" s="25" t="s">
        <v>148</v>
      </c>
      <c r="E169" s="25"/>
      <c r="F169" s="26" t="s">
        <v>142</v>
      </c>
      <c r="G169" s="16">
        <v>0.574</v>
      </c>
      <c r="H169" s="16">
        <v>796</v>
      </c>
      <c r="I169" s="127">
        <f t="shared" si="5"/>
        <v>0.11857943034203312</v>
      </c>
    </row>
    <row r="170" spans="1:9" ht="15.75">
      <c r="A170" s="24">
        <v>870</v>
      </c>
      <c r="B170" s="24" t="s">
        <v>282</v>
      </c>
      <c r="C170" s="10">
        <v>71</v>
      </c>
      <c r="D170" s="25" t="s">
        <v>283</v>
      </c>
      <c r="E170" s="25"/>
      <c r="F170" s="26" t="s">
        <v>142</v>
      </c>
      <c r="G170" s="16">
        <v>0.54</v>
      </c>
      <c r="H170" s="16">
        <v>246</v>
      </c>
      <c r="I170" s="127">
        <f t="shared" si="5"/>
        <v>0.036646406864497674</v>
      </c>
    </row>
    <row r="171" spans="1:9" ht="15.75">
      <c r="A171" s="24">
        <v>872</v>
      </c>
      <c r="B171" s="24" t="s">
        <v>284</v>
      </c>
      <c r="C171" s="10">
        <v>72</v>
      </c>
      <c r="D171" s="25" t="s">
        <v>285</v>
      </c>
      <c r="E171" s="25"/>
      <c r="F171" s="26" t="s">
        <v>142</v>
      </c>
      <c r="G171" s="16">
        <v>0.54</v>
      </c>
      <c r="H171" s="16">
        <v>116</v>
      </c>
      <c r="I171" s="127">
        <f t="shared" si="5"/>
        <v>0.017280419497080205</v>
      </c>
    </row>
    <row r="172" spans="1:9" ht="15.75">
      <c r="A172" s="24">
        <v>877</v>
      </c>
      <c r="B172" s="24" t="s">
        <v>286</v>
      </c>
      <c r="C172" s="10">
        <v>73</v>
      </c>
      <c r="D172" s="25" t="s">
        <v>287</v>
      </c>
      <c r="E172" s="25"/>
      <c r="F172" s="26" t="s">
        <v>288</v>
      </c>
      <c r="G172" s="16">
        <v>5</v>
      </c>
      <c r="H172" s="16">
        <v>439</v>
      </c>
      <c r="I172" s="127">
        <f t="shared" si="5"/>
        <v>0.06539744964843285</v>
      </c>
    </row>
    <row r="173" spans="1:9" ht="15.75" customHeight="1">
      <c r="A173" s="134" t="s">
        <v>46</v>
      </c>
      <c r="B173" s="134"/>
      <c r="C173" s="22"/>
      <c r="D173" s="135" t="s">
        <v>151</v>
      </c>
      <c r="E173" s="135"/>
      <c r="F173" s="135"/>
      <c r="G173" s="21">
        <v>9</v>
      </c>
      <c r="H173" s="16"/>
      <c r="I173" s="127"/>
    </row>
    <row r="174" spans="1:9" ht="25.5">
      <c r="A174" s="24">
        <v>880</v>
      </c>
      <c r="B174" s="24" t="s">
        <v>152</v>
      </c>
      <c r="C174" s="10">
        <v>74</v>
      </c>
      <c r="D174" s="29" t="s">
        <v>153</v>
      </c>
      <c r="E174" s="29"/>
      <c r="F174" s="26" t="s">
        <v>142</v>
      </c>
      <c r="G174" s="16">
        <v>0.231</v>
      </c>
      <c r="H174" s="16">
        <v>37</v>
      </c>
      <c r="I174" s="127">
        <f aca="true" t="shared" si="6" ref="I174:I181">PRODUCT(H174/12/559.4)</f>
        <v>0.005511857943034204</v>
      </c>
    </row>
    <row r="175" spans="1:9" ht="25.5">
      <c r="A175" s="24">
        <v>890</v>
      </c>
      <c r="B175" s="24" t="s">
        <v>154</v>
      </c>
      <c r="C175" s="10">
        <v>75</v>
      </c>
      <c r="D175" s="29" t="s">
        <v>155</v>
      </c>
      <c r="E175" s="29"/>
      <c r="F175" s="26" t="s">
        <v>142</v>
      </c>
      <c r="G175" s="16">
        <v>0.231</v>
      </c>
      <c r="H175" s="16">
        <v>223</v>
      </c>
      <c r="I175" s="127">
        <f t="shared" si="6"/>
        <v>0.03322011679180074</v>
      </c>
    </row>
    <row r="176" spans="1:9" ht="25.5">
      <c r="A176" s="24">
        <v>899</v>
      </c>
      <c r="B176" s="24" t="s">
        <v>289</v>
      </c>
      <c r="C176" s="10">
        <v>76</v>
      </c>
      <c r="D176" s="29" t="s">
        <v>290</v>
      </c>
      <c r="E176" s="29"/>
      <c r="F176" s="26" t="s">
        <v>142</v>
      </c>
      <c r="G176" s="16">
        <v>11.55</v>
      </c>
      <c r="H176" s="16">
        <v>30775</v>
      </c>
      <c r="I176" s="127">
        <f t="shared" si="6"/>
        <v>4.584525086402098</v>
      </c>
    </row>
    <row r="177" spans="1:9" ht="25.5">
      <c r="A177" s="24">
        <v>902</v>
      </c>
      <c r="B177" s="24" t="s">
        <v>291</v>
      </c>
      <c r="C177" s="10">
        <v>77</v>
      </c>
      <c r="D177" s="25" t="s">
        <v>292</v>
      </c>
      <c r="E177" s="25"/>
      <c r="F177" s="26" t="s">
        <v>142</v>
      </c>
      <c r="G177" s="16">
        <v>0.432</v>
      </c>
      <c r="H177" s="16">
        <v>85</v>
      </c>
      <c r="I177" s="127">
        <f t="shared" si="6"/>
        <v>0.012662376355619115</v>
      </c>
    </row>
    <row r="178" spans="1:9" ht="25.5">
      <c r="A178" s="24">
        <v>908</v>
      </c>
      <c r="B178" s="24" t="s">
        <v>293</v>
      </c>
      <c r="C178" s="10">
        <v>78</v>
      </c>
      <c r="D178" s="25" t="s">
        <v>294</v>
      </c>
      <c r="E178" s="25"/>
      <c r="F178" s="26" t="s">
        <v>142</v>
      </c>
      <c r="G178" s="16">
        <v>0.036</v>
      </c>
      <c r="H178" s="16">
        <v>352</v>
      </c>
      <c r="I178" s="127">
        <f t="shared" si="6"/>
        <v>0.052437135025622694</v>
      </c>
    </row>
    <row r="179" spans="1:9" ht="25.5">
      <c r="A179" s="24">
        <v>918</v>
      </c>
      <c r="B179" s="24" t="s">
        <v>50</v>
      </c>
      <c r="C179" s="10">
        <v>79</v>
      </c>
      <c r="D179" s="25" t="s">
        <v>51</v>
      </c>
      <c r="E179" s="25"/>
      <c r="F179" s="26" t="s">
        <v>52</v>
      </c>
      <c r="G179" s="16">
        <v>9.022</v>
      </c>
      <c r="H179" s="16">
        <v>6474</v>
      </c>
      <c r="I179" s="127">
        <f t="shared" si="6"/>
        <v>0.9644261708973901</v>
      </c>
    </row>
    <row r="180" spans="1:9" ht="25.5">
      <c r="A180" s="24">
        <v>919</v>
      </c>
      <c r="B180" s="24" t="s">
        <v>53</v>
      </c>
      <c r="C180" s="10">
        <v>80</v>
      </c>
      <c r="D180" s="25" t="s">
        <v>54</v>
      </c>
      <c r="E180" s="25"/>
      <c r="F180" s="26" t="s">
        <v>52</v>
      </c>
      <c r="G180" s="16">
        <v>8.1198</v>
      </c>
      <c r="H180" s="16">
        <v>1154</v>
      </c>
      <c r="I180" s="127">
        <f t="shared" si="6"/>
        <v>0.17191038016922894</v>
      </c>
    </row>
    <row r="181" spans="1:9" ht="15.75">
      <c r="A181" s="24">
        <v>921</v>
      </c>
      <c r="B181" s="24" t="s">
        <v>295</v>
      </c>
      <c r="C181" s="10">
        <v>81</v>
      </c>
      <c r="D181" s="25" t="s">
        <v>296</v>
      </c>
      <c r="E181" s="25"/>
      <c r="F181" s="26" t="s">
        <v>142</v>
      </c>
      <c r="G181" s="16">
        <v>0.036</v>
      </c>
      <c r="H181" s="16">
        <v>7</v>
      </c>
      <c r="I181" s="127">
        <f t="shared" si="6"/>
        <v>0.001042783935168633</v>
      </c>
    </row>
    <row r="182" spans="1:9" ht="15.75" customHeight="1">
      <c r="A182" s="134" t="s">
        <v>56</v>
      </c>
      <c r="B182" s="134"/>
      <c r="C182" s="22"/>
      <c r="D182" s="135" t="s">
        <v>297</v>
      </c>
      <c r="E182" s="135"/>
      <c r="F182" s="135"/>
      <c r="G182" s="21">
        <v>9</v>
      </c>
      <c r="H182" s="16"/>
      <c r="I182" s="127"/>
    </row>
    <row r="183" spans="1:9" ht="15.75">
      <c r="A183" s="24">
        <v>936</v>
      </c>
      <c r="B183" s="24" t="s">
        <v>298</v>
      </c>
      <c r="C183" s="10">
        <v>82</v>
      </c>
      <c r="D183" s="25" t="s">
        <v>299</v>
      </c>
      <c r="E183" s="25"/>
      <c r="F183" s="26" t="s">
        <v>288</v>
      </c>
      <c r="G183" s="16">
        <v>5</v>
      </c>
      <c r="H183" s="16">
        <v>427</v>
      </c>
      <c r="I183" s="127">
        <f>PRODUCT(H183/12/559.4)</f>
        <v>0.06360982004528662</v>
      </c>
    </row>
  </sheetData>
  <sheetProtection selectLockedCells="1" selectUnlockedCells="1"/>
  <mergeCells count="73">
    <mergeCell ref="E1:H1"/>
    <mergeCell ref="E2:H2"/>
    <mergeCell ref="E3:I3"/>
    <mergeCell ref="E4:H4"/>
    <mergeCell ref="E5:H5"/>
    <mergeCell ref="E6:H6"/>
    <mergeCell ref="E7:H7"/>
    <mergeCell ref="E8:H8"/>
    <mergeCell ref="A9:I9"/>
    <mergeCell ref="D10:H10"/>
    <mergeCell ref="A11:H11"/>
    <mergeCell ref="A12:A14"/>
    <mergeCell ref="B12:B14"/>
    <mergeCell ref="C12:C14"/>
    <mergeCell ref="D12:D14"/>
    <mergeCell ref="E12:E14"/>
    <mergeCell ref="F12:F14"/>
    <mergeCell ref="I12:I14"/>
    <mergeCell ref="G13:H13"/>
    <mergeCell ref="G14:H14"/>
    <mergeCell ref="A23:B23"/>
    <mergeCell ref="A25:B25"/>
    <mergeCell ref="A31:B31"/>
    <mergeCell ref="A35:F35"/>
    <mergeCell ref="A36:B36"/>
    <mergeCell ref="A53:B53"/>
    <mergeCell ref="D53:F53"/>
    <mergeCell ref="A55:B55"/>
    <mergeCell ref="D55:F55"/>
    <mergeCell ref="A59:B59"/>
    <mergeCell ref="A63:F63"/>
    <mergeCell ref="A64:B64"/>
    <mergeCell ref="D64:F64"/>
    <mergeCell ref="A66:B66"/>
    <mergeCell ref="D66:F66"/>
    <mergeCell ref="A68:B68"/>
    <mergeCell ref="D68:F68"/>
    <mergeCell ref="A73:B73"/>
    <mergeCell ref="D73:F73"/>
    <mergeCell ref="D79:H79"/>
    <mergeCell ref="B83:F83"/>
    <mergeCell ref="A84:B84"/>
    <mergeCell ref="A86:B86"/>
    <mergeCell ref="D86:F86"/>
    <mergeCell ref="A99:B99"/>
    <mergeCell ref="D99:F99"/>
    <mergeCell ref="A101:B101"/>
    <mergeCell ref="D101:F101"/>
    <mergeCell ref="B102:F102"/>
    <mergeCell ref="A103:B103"/>
    <mergeCell ref="D103:F103"/>
    <mergeCell ref="A106:B106"/>
    <mergeCell ref="D106:F106"/>
    <mergeCell ref="A120:F120"/>
    <mergeCell ref="A121:B121"/>
    <mergeCell ref="D121:F121"/>
    <mergeCell ref="A125:B125"/>
    <mergeCell ref="D125:F125"/>
    <mergeCell ref="A136:B136"/>
    <mergeCell ref="D136:F136"/>
    <mergeCell ref="A142:B142"/>
    <mergeCell ref="D142:F142"/>
    <mergeCell ref="A143:B143"/>
    <mergeCell ref="D143:F143"/>
    <mergeCell ref="A154:F154"/>
    <mergeCell ref="A155:B155"/>
    <mergeCell ref="D155:F155"/>
    <mergeCell ref="A165:B165"/>
    <mergeCell ref="D165:F165"/>
    <mergeCell ref="A173:B173"/>
    <mergeCell ref="D173:F173"/>
    <mergeCell ref="A182:B182"/>
    <mergeCell ref="D182:F182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ingener</cp:lastModifiedBy>
  <cp:lastPrinted>2011-03-18T05:04:38Z</cp:lastPrinted>
  <dcterms:created xsi:type="dcterms:W3CDTF">2010-12-27T12:04:59Z</dcterms:created>
  <dcterms:modified xsi:type="dcterms:W3CDTF">2011-03-18T07:31:57Z</dcterms:modified>
  <cp:category/>
  <cp:version/>
  <cp:contentType/>
  <cp:contentStatus/>
</cp:coreProperties>
</file>