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<sst xmlns="http://schemas.openxmlformats.org/spreadsheetml/2006/main" count="1443" uniqueCount="460">
  <si>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</si>
  <si>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</si>
  <si>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</si>
  <si>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</si>
  <si>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</si>
  <si>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</si>
  <si>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</si>
  <si>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</si>
  <si>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</si>
  <si>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</si>
  <si>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</si>
  <si>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</si>
  <si>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</si>
  <si>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</si>
  <si>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</si>
  <si>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</si>
  <si>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</si>
  <si>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</si>
  <si>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</si>
  <si>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</si>
  <si>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</si>
  <si>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</si>
  <si>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</si>
  <si>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</si>
  <si>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</si>
  <si>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</si>
  <si>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</si>
  <si>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</si>
  <si>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</si>
  <si>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</si>
  <si>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</si>
  <si>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</si>
  <si>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</si>
  <si>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</si>
  <si>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</si>
  <si>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</si>
  <si>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</si>
  <si>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</si>
  <si>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</si>
  <si>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</si>
  <si>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</si>
  <si>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</si>
  <si>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</si>
  <si>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</si>
  <si>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</si>
  <si>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</si>
  <si>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</si>
  <si>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</si>
  <si>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</si>
  <si>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</si>
  <si>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</si>
  <si>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</si>
  <si>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</si>
  <si>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</si>
  <si>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</si>
  <si>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</si>
  <si>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</si>
  <si>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</si>
  <si>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</si>
  <si>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</si>
  <si>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</si>
  <si>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</si>
  <si>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</si>
  <si>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</si>
  <si>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</si>
  <si>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</si>
  <si>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</si>
  <si>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</si>
  <si>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</si>
  <si>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</si>
  <si>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</si>
  <si>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</si>
  <si>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</si>
  <si>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</si>
  <si>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</si>
  <si>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</si>
  <si>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</si>
  <si>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</si>
  <si>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</si>
  <si>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</si>
  <si>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</si>
  <si>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</si>
  <si>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</si>
  <si>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</si>
  <si>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</si>
  <si>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</si>
  <si>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</si>
  <si>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</si>
  <si>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</si>
  <si>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</si>
  <si>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</si>
  <si>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</si>
  <si>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</si>
  <si>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</si>
  <si>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</si>
  <si>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</si>
  <si>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</si>
  <si>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</si>
  <si>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</si>
  <si>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</si>
  <si>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</si>
  <si>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</si>
  <si>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</si>
  <si>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</si>
  <si>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</si>
  <si>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</si>
  <si>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</si>
  <si>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</si>
  <si>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</si>
  <si>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</si>
  <si>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</si>
  <si>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</si>
  <si>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</si>
  <si>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</si>
  <si>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</si>
  <si>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</si>
  <si>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</si>
  <si>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</si>
  <si>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</si>
  <si>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</si>
  <si>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</si>
  <si>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</si>
  <si>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</si>
  <si>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</si>
  <si>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</si>
  <si>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</si>
  <si>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</si>
  <si>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</si>
  <si>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</si>
  <si>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</si>
  <si>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</si>
  <si>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</si>
  <si>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</si>
  <si>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</si>
  <si>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</si>
  <si>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</si>
  <si>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</si>
  <si>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</si>
  <si>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</si>
  <si>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</si>
  <si>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</si>
  <si>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</si>
  <si>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</si>
  <si>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</si>
  <si>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</si>
  <si>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</si>
  <si>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</si>
  <si>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</si>
  <si>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</si>
  <si>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</si>
  <si>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</si>
  <si>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</si>
  <si>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</si>
  <si>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</si>
  <si>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</si>
  <si>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</si>
  <si>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</si>
  <si>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</si>
  <si>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</si>
  <si>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</si>
  <si>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</si>
  <si>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</si>
  <si>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</si>
  <si>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</si>
  <si>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</si>
  <si>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</si>
  <si>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</si>
  <si>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</si>
  <si>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</si>
  <si>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</si>
  <si>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</si>
  <si>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</si>
  <si>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</si>
  <si>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</si>
  <si>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</si>
  <si>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</si>
  <si>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</si>
  <si>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</si>
  <si>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</si>
  <si>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</si>
  <si>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</si>
  <si>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</si>
  <si>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</si>
  <si>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</si>
  <si>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</si>
  <si>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</si>
  <si>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</si>
  <si>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</si>
  <si>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</si>
  <si>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</si>
  <si>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</si>
  <si>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</si>
  <si>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</si>
  <si>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</si>
  <si>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</si>
  <si>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</si>
  <si>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</si>
  <si>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</si>
  <si>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</si>
  <si>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</si>
  <si>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</si>
  <si>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</si>
  <si>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</si>
  <si>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</si>
  <si>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</si>
  <si>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</si>
  <si>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</si>
  <si>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</si>
  <si>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</si>
  <si>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</si>
  <si>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</si>
  <si>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</si>
  <si>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</si>
  <si>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</si>
  <si>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</si>
  <si>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</si>
  <si>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</si>
  <si>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</si>
  <si>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</si>
  <si>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</si>
  <si>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</si>
  <si>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</si>
  <si>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</si>
  <si>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</si>
  <si>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</si>
  <si>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</si>
  <si>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</si>
  <si>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</si>
  <si>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</si>
  <si>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</si>
  <si>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</si>
  <si>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</si>
  <si>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</si>
  <si>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</si>
  <si>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</si>
  <si>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</si>
  <si>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</si>
  <si>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</si>
  <si>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</si>
  <si>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</si>
  <si>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</si>
  <si>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</si>
  <si>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</si>
  <si>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</si>
  <si>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</si>
  <si>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</si>
  <si>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</si>
  <si>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</si>
  <si>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</si>
  <si>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</si>
  <si>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</si>
  <si>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</si>
  <si>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</si>
  <si>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</si>
  <si>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</si>
  <si>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</si>
  <si>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</si>
  <si>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</si>
  <si>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</si>
  <si>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</si>
  <si>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</si>
  <si>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</si>
  <si>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</si>
  <si>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</si>
  <si>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</si>
  <si>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</si>
  <si>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</si>
  <si>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</si>
  <si>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</si>
  <si>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</si>
  <si>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</si>
  <si>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</si>
  <si>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</si>
  <si>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</si>
  <si>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</si>
  <si>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</si>
  <si>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</si>
  <si>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</si>
  <si>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</si>
  <si>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</si>
  <si>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</si>
  <si>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</si>
  <si>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</si>
  <si>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</si>
  <si>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</si>
  <si>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</si>
  <si>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</si>
  <si>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</si>
  <si>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</si>
  <si>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</si>
  <si>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</si>
  <si>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</si>
  <si>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</si>
  <si>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</si>
  <si>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</si>
  <si>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</si>
  <si>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</si>
  <si>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</si>
  <si>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</si>
  <si>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</si>
  <si>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>Объем</t>
  </si>
  <si>
    <t>Повтор в течении отчетного периода</t>
  </si>
  <si>
    <t>Стоимость с НДС, руб. (за отчетный период)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</si>
  <si>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</si>
  <si>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</si>
  <si>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</si>
  <si>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Обслуживание тепловых узлов</t>
  </si>
  <si>
    <t>узел</t>
  </si>
  <si>
    <t>Техническое обслуживание газового оборудования</t>
  </si>
  <si>
    <t>кв.</t>
  </si>
  <si>
    <t>Обслуживание мусоропровода</t>
  </si>
  <si>
    <t>под.</t>
  </si>
  <si>
    <t>Дезинфекция, дезинсекция</t>
  </si>
  <si>
    <t>Обслуживание лифтового оборудования</t>
  </si>
  <si>
    <t>Освидетельствование лифтового оборудования</t>
  </si>
  <si>
    <t>лифт</t>
  </si>
  <si>
    <t>Расходы на управление домом</t>
  </si>
  <si>
    <t>1 раз в месяц</t>
  </si>
  <si>
    <t>СОДЕРЖАНИЕ И ТЕКУШИЙ РЕМОНТ КОНСТРУКТИВНЫХ ЭЛЕМЕНТОВ ЗДАНИЯ</t>
  </si>
  <si>
    <t>Проверка и прочистка дымовентиляционных каналов</t>
  </si>
  <si>
    <t>канал</t>
  </si>
  <si>
    <t>Ремонт отдельными местами рулонного покрытия  кровли  наплавляемыми материалами</t>
  </si>
  <si>
    <t>Очистка кровли от мусора</t>
  </si>
  <si>
    <t>100м2</t>
  </si>
  <si>
    <t>Очистка кровли от снега,фановых труб от наледи</t>
  </si>
  <si>
    <t>Очистка козырьков от снега и наледи</t>
  </si>
  <si>
    <t>СТЕНЫ</t>
  </si>
  <si>
    <t>Устройство герметизации стеновых панелей пенополистиролом</t>
  </si>
  <si>
    <t xml:space="preserve"> по объему в дефектной ведомости</t>
  </si>
  <si>
    <t>п.м.</t>
  </si>
  <si>
    <t xml:space="preserve">Ремонт оконных переплетов </t>
  </si>
  <si>
    <t xml:space="preserve">Заделка подвальных и чердачных окон </t>
  </si>
  <si>
    <t xml:space="preserve">Ремонт дверных полотен со сменой петель </t>
  </si>
  <si>
    <t>шт.</t>
  </si>
  <si>
    <t>Смена дверных приборов - замков(чердак)</t>
  </si>
  <si>
    <t>ПОДЪЕЗДЫ</t>
  </si>
  <si>
    <t>Ремонт металических перил</t>
  </si>
  <si>
    <t>Ремонт и покраска входов в подъезды (тамбуры)</t>
  </si>
  <si>
    <t>ПОДВАЛЫ</t>
  </si>
  <si>
    <t>Окраска маслянными составами ранее окрашенных поверхностей стальных и чугунных труб за 1 раз (подвал)</t>
  </si>
  <si>
    <t>Устройство цементного пола в теплоузле</t>
  </si>
  <si>
    <t>РЕМОНТ И ОБСЛУЖИВАНИЕ ВНУТРИДОМОВОГО ИНЖЕНЕРНОГО ОБОРУДОВАНИЯ</t>
  </si>
  <si>
    <t>САНТЕХНИЧЕСКИЕ РАБОТЫ</t>
  </si>
  <si>
    <t>Контрольное снятие показаний ИПУ в квартирах</t>
  </si>
  <si>
    <t>Снятие показаний с общедомовых приборов учета (ХВС)</t>
  </si>
  <si>
    <t>1раз в месяц</t>
  </si>
  <si>
    <t xml:space="preserve">Ремонт общедомового сантехоборудования в квартирах (прочистка водопровода, прочистка и ремонт радиаторов отопления)              </t>
  </si>
  <si>
    <t>по мере необходимости в течении отчетного периода</t>
  </si>
  <si>
    <t>м</t>
  </si>
  <si>
    <t>Смена трубопроводов водоснабжения из напорных полиэтиленовых труб диаметром 20 мм</t>
  </si>
  <si>
    <t>Смена трубопроводов водоснабжения из напорных полиэтиленовых труб диаметром 15 мм</t>
  </si>
  <si>
    <t>Смена внутренних трубопроводов из стальных труб диаметром 76</t>
  </si>
  <si>
    <t>Врезки в действуюшие сети трубопроводов отопления и водоснабжения диаметром 15</t>
  </si>
  <si>
    <t>врезка</t>
  </si>
  <si>
    <t>Врезки в действуюшие сети трубопроводов отопления и водоснабжения диаметром 20</t>
  </si>
  <si>
    <t>Врезки в действуюшие сети трубопроводов отопления и водоснабжения диаметром 32</t>
  </si>
  <si>
    <t>Смена внутренних трубопроводов из стальных труб диаметром 25</t>
  </si>
  <si>
    <t>Смена арматуры вентелей диаметров до 32мм</t>
  </si>
  <si>
    <t>Смена арматуры вентелей диаметров до 20мм</t>
  </si>
  <si>
    <t>Смена сгонов у трубороводов диаметром до 32 мм</t>
  </si>
  <si>
    <t>Смена сгонов у трубороводов диаметром до 20 мм</t>
  </si>
  <si>
    <t>Ревизия вентелей без снятия с места</t>
  </si>
  <si>
    <t>Установка узла учета ГВ</t>
  </si>
  <si>
    <t>Замена канализационных труб  в подвале</t>
  </si>
  <si>
    <t>Очистка ливневой канализационной сети</t>
  </si>
  <si>
    <t>Промывка системы центрального отопления дома</t>
  </si>
  <si>
    <t>м3 здания</t>
  </si>
  <si>
    <t>Установка общедомовых приборов учета</t>
  </si>
  <si>
    <t>компл.</t>
  </si>
  <si>
    <t>Смена ламп люменисцентных</t>
  </si>
  <si>
    <t>Ремонт светильников с лампами накаливания</t>
  </si>
  <si>
    <t>Смена светильников с люменисцентными лампами</t>
  </si>
  <si>
    <t>Смена светильников с лампами накаливания</t>
  </si>
  <si>
    <t>Ремонт выключателей</t>
  </si>
  <si>
    <t>Установка патронов навесных</t>
  </si>
  <si>
    <t xml:space="preserve">Установка выключателей одноклавишных неутопленного типа </t>
  </si>
  <si>
    <t>ППР групповых щитков на лестничной клетке без ремонта автоматов</t>
  </si>
  <si>
    <t>Ремонт групповых щитков на лестничной клетке со сменой автоматов</t>
  </si>
  <si>
    <t>Обследование и испытание электросетей, электроприемников и защитного заземления электрооборудования</t>
  </si>
  <si>
    <t>Смена кабеля 2-4 жильного сечением жилы до 16 мм2 (подвал)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</si>
  <si>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</si>
  <si>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</si>
  <si>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</si>
  <si>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</si>
  <si>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Осмотр мягкой кровли</t>
  </si>
  <si>
    <t>Сезонный осмотр элементов здания с внесением данных в паспорт готовности дома</t>
  </si>
  <si>
    <t>1 раза в год</t>
  </si>
  <si>
    <t>Уборка лифтовых кабин</t>
  </si>
  <si>
    <t>Дезинфекция элементов ствола мусоропровода</t>
  </si>
  <si>
    <t>Дезинфекция переносных мусоросборников</t>
  </si>
  <si>
    <t>2 раза в летний период</t>
  </si>
  <si>
    <t>2 раза в неделю</t>
  </si>
  <si>
    <t>Погрузка и разгрузка веток, листьев, мусора, вывоз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</si>
  <si>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</si>
  <si>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</si>
  <si>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</si>
  <si>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</si>
  <si>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</si>
  <si>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</si>
  <si>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</si>
  <si>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</si>
  <si>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</si>
  <si>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t>Демонтаж, монтаж лифтового  и коммунального оборудования (после пожара)</t>
  </si>
  <si>
    <t>Ремонт приемных клапанов мусоропровода (4 под.)</t>
  </si>
  <si>
    <r>
      <t xml:space="preserve">ИТОГО ПО ОБЯЗАТЕЛЬНЫМ РАБОТАМ И УСЛУГАМ                     </t>
    </r>
    <r>
      <rPr>
        <i/>
        <sz val="10"/>
        <rFont val="Arial"/>
        <family val="2"/>
      </rPr>
      <t xml:space="preserve">руб. </t>
    </r>
    <r>
      <rPr>
        <b/>
        <i/>
        <sz val="10"/>
        <rFont val="Arial"/>
        <family val="2"/>
      </rPr>
      <t xml:space="preserve">                           </t>
    </r>
  </si>
  <si>
    <t>в том числе:</t>
  </si>
  <si>
    <t>Вывоз твердых  бытовых отходов</t>
  </si>
  <si>
    <t>Обслуживание лифта</t>
  </si>
  <si>
    <t>Исполнительный директор</t>
  </si>
  <si>
    <t>Ю.В.Хуторной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</si>
  <si>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</si>
  <si>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</si>
  <si>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</si>
  <si>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</si>
  <si>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</si>
  <si>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</si>
  <si>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</si>
  <si>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</si>
  <si>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</si>
  <si>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</si>
  <si>
    <t>Мытье лестничных площадок и маршей</t>
  </si>
  <si>
    <t>Профилактический осмотр мусоропровода</t>
  </si>
  <si>
    <t>2 раз в месяц</t>
  </si>
  <si>
    <t>Мытье загрузочных клапанов</t>
  </si>
  <si>
    <t>Уборка мусорокамер с мытьем стен и полов</t>
  </si>
  <si>
    <t>Слив и наполнение водой системы отопления с осмотром</t>
  </si>
  <si>
    <t>1000 м3</t>
  </si>
  <si>
    <t>Замена металлических клапанов мусоропровода</t>
  </si>
  <si>
    <t>Окраска металлических деталей мусоропровода</t>
  </si>
  <si>
    <t>Профилактический обход квартир</t>
  </si>
  <si>
    <t>Уборка территорий от случайного мусора</t>
  </si>
  <si>
    <t>Уборка территорий от мусора при сильной засоренности</t>
  </si>
  <si>
    <t>Смена колб к светильникам</t>
  </si>
  <si>
    <t>Устройство стяжек цементных полов</t>
  </si>
  <si>
    <t xml:space="preserve">Замена задвижек до 100 мм </t>
  </si>
  <si>
    <t>Замена фланцевых соединений на стальных трубопроводах</t>
  </si>
  <si>
    <t xml:space="preserve">Сварка трубных соединений </t>
  </si>
  <si>
    <t>Сборка и установка металлической ковровыбиралки, ограждений</t>
  </si>
  <si>
    <t>Разморозка</t>
  </si>
  <si>
    <t>Разморозка ливневой канализационной сети</t>
  </si>
  <si>
    <t>Изготовление и установка металлических ящиков для складирования мусора</t>
  </si>
  <si>
    <t>1000м3</t>
  </si>
  <si>
    <t>Обшивка каркасных стен плитами древесностружечными</t>
  </si>
  <si>
    <t xml:space="preserve">Масляная окраска стен </t>
  </si>
  <si>
    <t>Перечень выполненных работ по управлению, содержанию и текущему ремонту общего имушества многоквартирного дома №2</t>
  </si>
  <si>
    <t xml:space="preserve">по ул. Печорская за период с 01.06.2009г. по 31.05.2010 г. </t>
  </si>
  <si>
    <t>Подметание лестничных площадок и маршей  (до почтовых ящиков)</t>
  </si>
  <si>
    <t>Окраска известковыми составами контейнерной площадки</t>
  </si>
  <si>
    <t>Окраска маслянными составами ранее окрашенных металлических поверхностей контейнеров</t>
  </si>
  <si>
    <t xml:space="preserve">Смена трубопроводов водоснабжения из напорных полиэтиленовых труб диаметром 40 мм </t>
  </si>
  <si>
    <t>Смена внутренних трубопроводов из стальных труб диаметром до 20 мм</t>
  </si>
  <si>
    <t>Смена внутренних трубопроводов из стальных труб диаметром до 32 мм</t>
  </si>
  <si>
    <t>Смена внутренних трубопроводов из стальных труб диаметром до 57 мм</t>
  </si>
  <si>
    <t>Косметический ремонт подъездов</t>
  </si>
  <si>
    <t>Врезки в действующие внутренние сети трубопроводов канализации диаметром 100 мм</t>
  </si>
  <si>
    <t>Установка деревянных поручней</t>
  </si>
  <si>
    <t>Закрытие слуховых окон</t>
  </si>
  <si>
    <t>Подчеканка канализационных патрубков</t>
  </si>
  <si>
    <t>Устройство цементной стяжки</t>
  </si>
  <si>
    <t>Маслянная окраска детских архитектурных форм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</si>
</sst>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00"/>
    <numFmt numFmtId="166" formatCode="0.0"/>
    <numFmt numFmtId="167" formatCode="0.00000"/>
    <numFmt numFmtId="168" formatCode="0.0000"/>
  </numFmts>
  <fonts count="6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9"/>
      <name val="Times New Roman"/>
      <family val="1"/>
    </font>
    <font>
      <sz val="8.5"/>
      <name val="Arial"/>
      <family val="2"/>
    </font>
    <font>
      <sz val="8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34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center" wrapText="1" shrinkToFi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vertical="center" wrapText="1" shrinkToFit="1"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NumberFormat="1" applyFont="1" applyFill="1" applyBorder="1" applyAlignment="1" applyProtection="1">
      <alignment horizontal="center" vertical="center"/>
      <protection/>
    </xf>
    <xf numFmtId="0" fontId="18" fillId="35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1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166" fontId="1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6" fillId="0" borderId="10" xfId="0" applyNumberFormat="1" applyFont="1" applyFill="1" applyBorder="1" applyAlignment="1" applyProtection="1">
      <alignment horizontal="right" vertical="center"/>
      <protection locked="0"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NumberFormat="1" applyFont="1" applyFill="1" applyBorder="1" applyAlignment="1" applyProtection="1">
      <alignment horizontal="left" vertical="top" wrapText="1"/>
      <protection locked="0"/>
    </xf>
    <xf numFmtId="0" fontId="16" fillId="0" borderId="10" xfId="0" applyNumberFormat="1" applyFont="1" applyFill="1" applyBorder="1" applyAlignment="1" applyProtection="1">
      <alignment vertical="top" wrapText="1"/>
      <protection locked="0"/>
    </xf>
    <xf numFmtId="1" fontId="16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 wrapText="1" shrinkToFit="1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 wrapText="1" shrinkToFit="1"/>
      <protection/>
    </xf>
    <xf numFmtId="0" fontId="2" fillId="0" borderId="0" xfId="0" applyNumberFormat="1" applyFont="1" applyFill="1" applyBorder="1" applyAlignment="1" applyProtection="1">
      <alignment vertical="center" wrapText="1" shrinkToFi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166" fontId="65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2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 applyProtection="1">
      <alignment horizontal="center" vertical="top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164" fontId="29" fillId="0" borderId="0" xfId="44" applyFont="1" applyFill="1" applyBorder="1" applyAlignment="1" applyProtection="1">
      <alignment vertical="top" wrapText="1"/>
      <protection locked="0"/>
    </xf>
    <xf numFmtId="0" fontId="30" fillId="0" borderId="0" xfId="0" applyFont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85" zoomScaleNormal="85" zoomScalePageLayoutView="0" workbookViewId="0" topLeftCell="C1">
      <selection activeCell="E1" sqref="E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132" t="s">
        <v>1</v>
      </c>
      <c r="B3" s="132"/>
      <c r="C3" s="132"/>
      <c r="D3" s="132"/>
      <c r="E3" s="132"/>
      <c r="F3" s="132"/>
      <c r="G3" s="8"/>
      <c r="H3" s="8"/>
    </row>
    <row r="4" spans="1:8" ht="15.75">
      <c r="A4"/>
      <c r="B4"/>
      <c r="C4" s="9"/>
      <c r="D4" s="133" t="s">
        <v>2</v>
      </c>
      <c r="E4" s="133"/>
      <c r="F4" s="133"/>
      <c r="G4" s="133"/>
      <c r="H4" s="133"/>
    </row>
    <row r="5" spans="1:8" ht="12.75" customHeight="1" hidden="1">
      <c r="A5" s="134"/>
      <c r="B5" s="134"/>
      <c r="C5" s="134"/>
      <c r="D5" s="134"/>
      <c r="E5" s="134"/>
      <c r="F5" s="134"/>
      <c r="G5" s="134"/>
      <c r="H5" s="134"/>
    </row>
    <row r="6" spans="1:8" ht="34.5" customHeight="1">
      <c r="A6" s="135" t="s">
        <v>3</v>
      </c>
      <c r="B6" s="135" t="s">
        <v>4</v>
      </c>
      <c r="C6" s="136" t="s">
        <v>5</v>
      </c>
      <c r="D6" s="137" t="s">
        <v>6</v>
      </c>
      <c r="E6" s="137" t="s">
        <v>7</v>
      </c>
      <c r="F6" s="136" t="s">
        <v>8</v>
      </c>
      <c r="G6" s="11" t="s">
        <v>9</v>
      </c>
      <c r="H6" s="11" t="s">
        <v>10</v>
      </c>
    </row>
    <row r="7" spans="1:8" ht="15" customHeight="1">
      <c r="A7" s="135"/>
      <c r="B7" s="135"/>
      <c r="C7" s="136"/>
      <c r="D7" s="137"/>
      <c r="E7" s="137"/>
      <c r="F7" s="136"/>
      <c r="G7" s="138" t="s">
        <v>11</v>
      </c>
      <c r="H7" s="138"/>
    </row>
    <row r="8" spans="1:8" ht="15.75" customHeight="1">
      <c r="A8" s="135"/>
      <c r="B8" s="135"/>
      <c r="C8" s="136"/>
      <c r="D8" s="137"/>
      <c r="E8" s="137"/>
      <c r="F8" s="136"/>
      <c r="G8" s="138">
        <v>559.4</v>
      </c>
      <c r="H8" s="138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139" t="s">
        <v>25</v>
      </c>
      <c r="B17" s="139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139" t="s">
        <v>31</v>
      </c>
      <c r="B19" s="139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140" t="s">
        <v>46</v>
      </c>
      <c r="B25" s="140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139" t="s">
        <v>55</v>
      </c>
      <c r="B29" s="139"/>
      <c r="C29" s="139"/>
      <c r="D29" s="139"/>
      <c r="E29" s="139"/>
      <c r="F29" s="139"/>
      <c r="G29" s="21">
        <v>9</v>
      </c>
      <c r="H29" s="16"/>
      <c r="I29" s="28"/>
    </row>
    <row r="30" spans="1:8" ht="15.75" customHeight="1">
      <c r="A30" s="139" t="s">
        <v>56</v>
      </c>
      <c r="B30" s="139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139" t="s">
        <v>31</v>
      </c>
      <c r="B47" s="139"/>
      <c r="C47" s="22"/>
      <c r="D47" s="141" t="s">
        <v>98</v>
      </c>
      <c r="E47" s="141"/>
      <c r="F47" s="141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139" t="s">
        <v>101</v>
      </c>
      <c r="B49" s="139"/>
      <c r="C49" s="22"/>
      <c r="D49" s="141" t="s">
        <v>102</v>
      </c>
      <c r="E49" s="141"/>
      <c r="F49" s="141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139" t="s">
        <v>112</v>
      </c>
      <c r="B53" s="139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139" t="s">
        <v>125</v>
      </c>
      <c r="B57" s="139"/>
      <c r="C57" s="139"/>
      <c r="D57" s="139"/>
      <c r="E57" s="139"/>
      <c r="F57" s="139"/>
      <c r="G57" s="21">
        <v>9</v>
      </c>
      <c r="H57" s="16"/>
      <c r="I57" s="28"/>
    </row>
    <row r="58" spans="1:9" ht="15.75" customHeight="1">
      <c r="A58" s="139" t="s">
        <v>126</v>
      </c>
      <c r="B58" s="139"/>
      <c r="C58" s="22"/>
      <c r="D58" s="141" t="s">
        <v>127</v>
      </c>
      <c r="E58" s="141"/>
      <c r="F58" s="141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139" t="s">
        <v>131</v>
      </c>
      <c r="B60" s="139"/>
      <c r="C60" s="22"/>
      <c r="D60" s="141" t="s">
        <v>132</v>
      </c>
      <c r="E60" s="141"/>
      <c r="F60" s="141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139" t="s">
        <v>137</v>
      </c>
      <c r="B62" s="139"/>
      <c r="C62" s="30"/>
      <c r="D62" s="141" t="s">
        <v>138</v>
      </c>
      <c r="E62" s="141"/>
      <c r="F62" s="141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139" t="s">
        <v>150</v>
      </c>
      <c r="B67" s="139"/>
      <c r="C67" s="22"/>
      <c r="D67" s="141" t="s">
        <v>151</v>
      </c>
      <c r="E67" s="141"/>
      <c r="F67" s="141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142" t="s">
        <v>163</v>
      </c>
      <c r="E73" s="142"/>
      <c r="F73" s="142"/>
      <c r="G73" s="142"/>
      <c r="H73" s="142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139" t="s">
        <v>167</v>
      </c>
      <c r="C77" s="139"/>
      <c r="D77" s="139"/>
      <c r="E77" s="139"/>
      <c r="F77" s="139"/>
      <c r="G77" s="42">
        <v>9</v>
      </c>
      <c r="H77" s="36"/>
    </row>
    <row r="78" spans="1:8" ht="12.75" customHeight="1" hidden="1">
      <c r="A78" s="139" t="s">
        <v>25</v>
      </c>
      <c r="B78" s="139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139" t="s">
        <v>56</v>
      </c>
      <c r="B80" s="139"/>
      <c r="C80" s="22"/>
      <c r="D80" s="141" t="s">
        <v>32</v>
      </c>
      <c r="E80" s="141"/>
      <c r="F80" s="141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139" t="s">
        <v>126</v>
      </c>
      <c r="B93" s="139"/>
      <c r="C93" s="22"/>
      <c r="D93" s="141" t="s">
        <v>47</v>
      </c>
      <c r="E93" s="141"/>
      <c r="F93" s="141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139" t="s">
        <v>131</v>
      </c>
      <c r="B95" s="139"/>
      <c r="C95" s="22"/>
      <c r="D95" s="141" t="s">
        <v>192</v>
      </c>
      <c r="E95" s="141"/>
      <c r="F95" s="141"/>
      <c r="G95" s="21">
        <v>9</v>
      </c>
      <c r="H95" s="21"/>
    </row>
    <row r="96" spans="1:8" ht="12.75" customHeight="1" hidden="1">
      <c r="A96" s="24"/>
      <c r="B96" s="139" t="s">
        <v>193</v>
      </c>
      <c r="C96" s="139"/>
      <c r="D96" s="139"/>
      <c r="E96" s="139"/>
      <c r="F96" s="139"/>
      <c r="G96" s="21">
        <v>9</v>
      </c>
      <c r="H96" s="16"/>
    </row>
    <row r="97" spans="1:8" ht="12.75" customHeight="1" hidden="1">
      <c r="A97" s="139" t="s">
        <v>25</v>
      </c>
      <c r="B97" s="139"/>
      <c r="C97" s="22"/>
      <c r="D97" s="141" t="s">
        <v>194</v>
      </c>
      <c r="E97" s="141"/>
      <c r="F97" s="141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139" t="s">
        <v>31</v>
      </c>
      <c r="B100" s="139"/>
      <c r="C100" s="22"/>
      <c r="D100" s="141" t="s">
        <v>199</v>
      </c>
      <c r="E100" s="141"/>
      <c r="F100" s="141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139" t="s">
        <v>55</v>
      </c>
      <c r="B114" s="139"/>
      <c r="C114" s="139"/>
      <c r="D114" s="139"/>
      <c r="E114" s="139"/>
      <c r="F114" s="139"/>
      <c r="G114" s="21">
        <v>9</v>
      </c>
      <c r="H114" s="16"/>
    </row>
    <row r="115" spans="1:8" ht="12.75" customHeight="1" hidden="1">
      <c r="A115" s="139" t="s">
        <v>25</v>
      </c>
      <c r="B115" s="139"/>
      <c r="C115" s="22"/>
      <c r="D115" s="141" t="s">
        <v>57</v>
      </c>
      <c r="E115" s="141"/>
      <c r="F115" s="141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139" t="s">
        <v>31</v>
      </c>
      <c r="B119" s="139"/>
      <c r="C119" s="22"/>
      <c r="D119" s="141" t="s">
        <v>98</v>
      </c>
      <c r="E119" s="141"/>
      <c r="F119" s="141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139" t="s">
        <v>101</v>
      </c>
      <c r="B130" s="139"/>
      <c r="C130" s="22"/>
      <c r="D130" s="141" t="s">
        <v>102</v>
      </c>
      <c r="E130" s="141"/>
      <c r="F130" s="141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139"/>
      <c r="B136" s="139"/>
      <c r="C136" s="22"/>
      <c r="D136" s="141" t="s">
        <v>113</v>
      </c>
      <c r="E136" s="141"/>
      <c r="F136" s="141"/>
      <c r="G136" s="21">
        <v>9</v>
      </c>
      <c r="H136" s="16"/>
    </row>
    <row r="137" spans="1:8" ht="12.75" customHeight="1" hidden="1">
      <c r="A137" s="139" t="s">
        <v>25</v>
      </c>
      <c r="B137" s="139"/>
      <c r="C137" s="22"/>
      <c r="D137" s="141" t="s">
        <v>113</v>
      </c>
      <c r="E137" s="141"/>
      <c r="F137" s="141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139" t="s">
        <v>125</v>
      </c>
      <c r="B148" s="139"/>
      <c r="C148" s="139"/>
      <c r="D148" s="139"/>
      <c r="E148" s="139"/>
      <c r="F148" s="139"/>
      <c r="G148" s="21">
        <v>9</v>
      </c>
      <c r="H148" s="16"/>
    </row>
    <row r="149" spans="1:8" ht="12.75" customHeight="1" hidden="1">
      <c r="A149" s="139" t="s">
        <v>25</v>
      </c>
      <c r="B149" s="139"/>
      <c r="C149" s="22"/>
      <c r="D149" s="141" t="s">
        <v>127</v>
      </c>
      <c r="E149" s="141"/>
      <c r="F149" s="141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139" t="s">
        <v>101</v>
      </c>
      <c r="B159" s="139"/>
      <c r="C159" s="22"/>
      <c r="D159" s="141" t="s">
        <v>138</v>
      </c>
      <c r="E159" s="141"/>
      <c r="F159" s="141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139" t="s">
        <v>46</v>
      </c>
      <c r="B167" s="139"/>
      <c r="C167" s="22"/>
      <c r="D167" s="141" t="s">
        <v>151</v>
      </c>
      <c r="E167" s="141"/>
      <c r="F167" s="141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139" t="s">
        <v>56</v>
      </c>
      <c r="B176" s="139"/>
      <c r="C176" s="22"/>
      <c r="D176" s="141" t="s">
        <v>297</v>
      </c>
      <c r="E176" s="141"/>
      <c r="F176" s="141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  <mergeCell ref="A130:B130"/>
    <mergeCell ref="D130:F130"/>
    <mergeCell ref="A136:B136"/>
    <mergeCell ref="D136:F136"/>
    <mergeCell ref="A137:B137"/>
    <mergeCell ref="D137:F137"/>
    <mergeCell ref="A100:B100"/>
    <mergeCell ref="D100:F100"/>
    <mergeCell ref="A114:F114"/>
    <mergeCell ref="A115:B115"/>
    <mergeCell ref="D115:F115"/>
    <mergeCell ref="A119:B119"/>
    <mergeCell ref="D119:F119"/>
    <mergeCell ref="A93:B93"/>
    <mergeCell ref="D93:F93"/>
    <mergeCell ref="A95:B95"/>
    <mergeCell ref="D95:F95"/>
    <mergeCell ref="B96:F96"/>
    <mergeCell ref="A97:B97"/>
    <mergeCell ref="D97:F97"/>
    <mergeCell ref="A67:B67"/>
    <mergeCell ref="D67:F67"/>
    <mergeCell ref="D73:H73"/>
    <mergeCell ref="B77:F77"/>
    <mergeCell ref="A78:B78"/>
    <mergeCell ref="A80:B80"/>
    <mergeCell ref="D80:F80"/>
    <mergeCell ref="A58:B58"/>
    <mergeCell ref="D58:F58"/>
    <mergeCell ref="A60:B60"/>
    <mergeCell ref="D60:F60"/>
    <mergeCell ref="A62:B62"/>
    <mergeCell ref="D62:F62"/>
    <mergeCell ref="A47:B47"/>
    <mergeCell ref="D47:F47"/>
    <mergeCell ref="A49:B49"/>
    <mergeCell ref="D49:F49"/>
    <mergeCell ref="A53:B53"/>
    <mergeCell ref="A57:F57"/>
    <mergeCell ref="G8:H8"/>
    <mergeCell ref="A17:B17"/>
    <mergeCell ref="A19:B19"/>
    <mergeCell ref="A25:B25"/>
    <mergeCell ref="A29:F29"/>
    <mergeCell ref="A30:B30"/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3"/>
  <sheetViews>
    <sheetView tabSelected="1" zoomScalePageLayoutView="0" workbookViewId="0" topLeftCell="C1">
      <pane ySplit="3" topLeftCell="A30" activePane="bottomLeft" state="frozen"/>
      <selection pane="topLeft" activeCell="A1" sqref="A1"/>
      <selection pane="bottomLeft" activeCell="D34" sqref="D34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5.375" style="3" customWidth="1"/>
    <col min="4" max="4" width="45.75390625" style="4" customWidth="1"/>
    <col min="5" max="5" width="17.75390625" style="4" customWidth="1"/>
    <col min="6" max="6" width="8.75390625" style="3" customWidth="1"/>
    <col min="7" max="7" width="8.875" style="5" customWidth="1"/>
    <col min="8" max="8" width="9.25390625" style="5" customWidth="1"/>
    <col min="9" max="9" width="12.75390625" style="6" customWidth="1"/>
    <col min="10" max="10" width="10.75390625" style="6" customWidth="1"/>
    <col min="11" max="11" width="13.125" style="1" customWidth="1"/>
    <col min="12" max="16384" width="9.125" style="1" customWidth="1"/>
  </cols>
  <sheetData>
    <row r="1" spans="1:11" ht="16.5" customHeight="1">
      <c r="A1" s="49" t="s">
        <v>1</v>
      </c>
      <c r="B1" s="49"/>
      <c r="C1" s="146" t="s">
        <v>444</v>
      </c>
      <c r="D1" s="146"/>
      <c r="E1" s="146"/>
      <c r="F1" s="146"/>
      <c r="G1" s="146"/>
      <c r="H1" s="146"/>
      <c r="I1" s="146"/>
      <c r="J1" s="146"/>
      <c r="K1" s="146"/>
    </row>
    <row r="2" spans="1:11" ht="15.75">
      <c r="A2" s="50"/>
      <c r="B2" s="50"/>
      <c r="C2" s="150" t="s">
        <v>445</v>
      </c>
      <c r="D2" s="150"/>
      <c r="E2" s="150"/>
      <c r="F2" s="150"/>
      <c r="G2" s="150"/>
      <c r="H2" s="150"/>
      <c r="I2" s="150"/>
      <c r="J2" s="150"/>
      <c r="K2" s="150"/>
    </row>
    <row r="3" spans="1:11" s="56" customFormat="1" ht="63" customHeight="1">
      <c r="A3" s="52" t="s">
        <v>3</v>
      </c>
      <c r="B3" s="52" t="s">
        <v>4</v>
      </c>
      <c r="C3" s="53" t="s">
        <v>5</v>
      </c>
      <c r="D3" s="54" t="s">
        <v>6</v>
      </c>
      <c r="E3" s="54" t="s">
        <v>7</v>
      </c>
      <c r="F3" s="53" t="s">
        <v>8</v>
      </c>
      <c r="G3" s="55" t="s">
        <v>300</v>
      </c>
      <c r="H3" s="55" t="s">
        <v>301</v>
      </c>
      <c r="I3" s="55" t="s">
        <v>302</v>
      </c>
      <c r="J3" s="55" t="s">
        <v>303</v>
      </c>
      <c r="K3" s="55" t="s">
        <v>304</v>
      </c>
    </row>
    <row r="4" spans="1:11" ht="15.75">
      <c r="A4" s="57">
        <v>1</v>
      </c>
      <c r="B4" s="57">
        <v>2</v>
      </c>
      <c r="C4" s="58">
        <v>1</v>
      </c>
      <c r="D4" s="59">
        <v>2</v>
      </c>
      <c r="E4" s="59">
        <v>3</v>
      </c>
      <c r="F4" s="60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</row>
    <row r="5" spans="1:11" ht="20.25" customHeight="1">
      <c r="A5" s="57"/>
      <c r="B5" s="57"/>
      <c r="C5" s="147" t="s">
        <v>305</v>
      </c>
      <c r="D5" s="147"/>
      <c r="E5" s="147"/>
      <c r="F5" s="147"/>
      <c r="G5" s="147"/>
      <c r="H5" s="147"/>
      <c r="I5" s="62"/>
      <c r="J5" s="62"/>
      <c r="K5" s="62"/>
    </row>
    <row r="6" spans="1:11" ht="15.75">
      <c r="A6" s="57"/>
      <c r="B6" s="57"/>
      <c r="C6" s="58">
        <v>1</v>
      </c>
      <c r="D6" s="63" t="s">
        <v>306</v>
      </c>
      <c r="E6" s="63" t="s">
        <v>18</v>
      </c>
      <c r="F6" s="60" t="s">
        <v>307</v>
      </c>
      <c r="G6" s="61">
        <v>1</v>
      </c>
      <c r="H6" s="61">
        <v>12</v>
      </c>
      <c r="I6" s="61">
        <f>1200*G6*H6</f>
        <v>14400</v>
      </c>
      <c r="J6" s="61">
        <v>5742.7</v>
      </c>
      <c r="K6" s="64">
        <f>I6/12/5742.7</f>
        <v>0.20896094171731067</v>
      </c>
    </row>
    <row r="7" spans="1:11" ht="15.75">
      <c r="A7" s="65"/>
      <c r="B7" s="65"/>
      <c r="C7" s="58">
        <v>2</v>
      </c>
      <c r="D7" s="66" t="s">
        <v>165</v>
      </c>
      <c r="E7" s="66" t="s">
        <v>16</v>
      </c>
      <c r="F7" s="60" t="s">
        <v>136</v>
      </c>
      <c r="G7" s="61">
        <v>5742.7</v>
      </c>
      <c r="H7" s="61">
        <v>12</v>
      </c>
      <c r="I7" s="58">
        <f>1.25*5742.7*12</f>
        <v>86140.5</v>
      </c>
      <c r="J7" s="61">
        <v>5742.7</v>
      </c>
      <c r="K7" s="64">
        <f aca="true" t="shared" si="0" ref="K7:K15">I7/12/5742.7</f>
        <v>1.25</v>
      </c>
    </row>
    <row r="8" spans="1:11" ht="15.75">
      <c r="A8" s="65"/>
      <c r="B8" s="65"/>
      <c r="C8" s="58">
        <v>3</v>
      </c>
      <c r="D8" s="66" t="s">
        <v>17</v>
      </c>
      <c r="E8" s="66" t="s">
        <v>18</v>
      </c>
      <c r="F8" s="60" t="s">
        <v>136</v>
      </c>
      <c r="G8" s="61">
        <v>5742.7</v>
      </c>
      <c r="H8" s="61">
        <v>12</v>
      </c>
      <c r="I8" s="58">
        <f>G8*1.26*H8</f>
        <v>86829.624</v>
      </c>
      <c r="J8" s="61">
        <v>5742.7</v>
      </c>
      <c r="K8" s="64">
        <f t="shared" si="0"/>
        <v>1.26</v>
      </c>
    </row>
    <row r="9" spans="1:11" ht="15.75">
      <c r="A9" s="65"/>
      <c r="B9" s="65"/>
      <c r="C9" s="58">
        <v>4</v>
      </c>
      <c r="D9" s="67" t="s">
        <v>308</v>
      </c>
      <c r="E9" s="67" t="s">
        <v>18</v>
      </c>
      <c r="F9" s="60" t="s">
        <v>309</v>
      </c>
      <c r="G9" s="61">
        <v>119</v>
      </c>
      <c r="H9" s="61">
        <v>1</v>
      </c>
      <c r="I9" s="58">
        <f>0.86*J9*12</f>
        <v>59264.664</v>
      </c>
      <c r="J9" s="61">
        <v>5742.7</v>
      </c>
      <c r="K9" s="64">
        <f t="shared" si="0"/>
        <v>0.86</v>
      </c>
    </row>
    <row r="10" spans="1:11" ht="15.75" hidden="1">
      <c r="A10" s="65"/>
      <c r="B10" s="65"/>
      <c r="C10" s="58">
        <v>8</v>
      </c>
      <c r="D10" s="66" t="s">
        <v>310</v>
      </c>
      <c r="E10" s="67" t="s">
        <v>18</v>
      </c>
      <c r="F10" s="60" t="s">
        <v>311</v>
      </c>
      <c r="G10" s="61">
        <v>0</v>
      </c>
      <c r="H10" s="61">
        <v>12</v>
      </c>
      <c r="I10" s="58">
        <v>0</v>
      </c>
      <c r="J10" s="61">
        <v>5742.7</v>
      </c>
      <c r="K10" s="64">
        <f t="shared" si="0"/>
        <v>0</v>
      </c>
    </row>
    <row r="11" spans="1:11" ht="15.75">
      <c r="A11" s="65"/>
      <c r="B11" s="65"/>
      <c r="C11" s="58">
        <v>5</v>
      </c>
      <c r="D11" s="66" t="s">
        <v>20</v>
      </c>
      <c r="E11" s="66" t="s">
        <v>21</v>
      </c>
      <c r="F11" s="60" t="s">
        <v>136</v>
      </c>
      <c r="G11" s="58">
        <v>2520.84</v>
      </c>
      <c r="H11" s="61">
        <v>12</v>
      </c>
      <c r="I11" s="58">
        <f>J11*H11*0.07</f>
        <v>4823.868</v>
      </c>
      <c r="J11" s="61">
        <v>5742.7</v>
      </c>
      <c r="K11" s="64">
        <f t="shared" si="0"/>
        <v>0.07</v>
      </c>
    </row>
    <row r="12" spans="1:11" ht="15.75">
      <c r="A12" s="65"/>
      <c r="B12" s="65"/>
      <c r="C12" s="58"/>
      <c r="D12" s="66" t="s">
        <v>312</v>
      </c>
      <c r="E12" s="67" t="s">
        <v>23</v>
      </c>
      <c r="F12" s="60" t="s">
        <v>136</v>
      </c>
      <c r="G12" s="58">
        <v>1578.1</v>
      </c>
      <c r="H12" s="61">
        <v>1</v>
      </c>
      <c r="I12" s="58">
        <f>J12*H12*0.02</f>
        <v>114.854</v>
      </c>
      <c r="J12" s="61">
        <v>5742.7</v>
      </c>
      <c r="K12" s="64">
        <f t="shared" si="0"/>
        <v>0.0016666666666666668</v>
      </c>
    </row>
    <row r="13" spans="1:11" ht="15.75" hidden="1">
      <c r="A13" s="65"/>
      <c r="B13" s="65"/>
      <c r="C13" s="58">
        <v>6</v>
      </c>
      <c r="D13" s="66" t="s">
        <v>313</v>
      </c>
      <c r="E13" s="67" t="s">
        <v>18</v>
      </c>
      <c r="F13" s="60" t="s">
        <v>311</v>
      </c>
      <c r="G13" s="61">
        <v>0</v>
      </c>
      <c r="H13" s="61">
        <v>12</v>
      </c>
      <c r="I13" s="58">
        <v>0</v>
      </c>
      <c r="J13" s="61">
        <v>5742.7</v>
      </c>
      <c r="K13" s="64">
        <f t="shared" si="0"/>
        <v>0</v>
      </c>
    </row>
    <row r="14" spans="1:11" ht="15.75" hidden="1">
      <c r="A14" s="65"/>
      <c r="B14" s="65"/>
      <c r="C14" s="58">
        <v>7</v>
      </c>
      <c r="D14" s="66" t="s">
        <v>314</v>
      </c>
      <c r="E14" s="67" t="s">
        <v>23</v>
      </c>
      <c r="F14" s="60" t="s">
        <v>315</v>
      </c>
      <c r="G14" s="61">
        <v>0</v>
      </c>
      <c r="H14" s="61">
        <v>1</v>
      </c>
      <c r="I14" s="58">
        <f>G14*2400</f>
        <v>0</v>
      </c>
      <c r="J14" s="61">
        <v>5742.7</v>
      </c>
      <c r="K14" s="64">
        <f t="shared" si="0"/>
        <v>0</v>
      </c>
    </row>
    <row r="15" spans="1:11" ht="15.75">
      <c r="A15" s="65"/>
      <c r="B15" s="65"/>
      <c r="C15" s="58">
        <v>9</v>
      </c>
      <c r="D15" s="66" t="s">
        <v>316</v>
      </c>
      <c r="E15" s="67" t="s">
        <v>18</v>
      </c>
      <c r="F15" s="60" t="s">
        <v>136</v>
      </c>
      <c r="G15" s="61">
        <v>5742.7</v>
      </c>
      <c r="H15" s="61">
        <v>12</v>
      </c>
      <c r="I15" s="58">
        <f>G15*1.85*H15</f>
        <v>127487.94</v>
      </c>
      <c r="J15" s="61">
        <v>5742.7</v>
      </c>
      <c r="K15" s="64">
        <f t="shared" si="0"/>
        <v>1.85</v>
      </c>
    </row>
    <row r="16" spans="1:11" ht="15.75" customHeight="1">
      <c r="A16" s="143"/>
      <c r="B16" s="143"/>
      <c r="C16" s="145" t="s">
        <v>318</v>
      </c>
      <c r="D16" s="145"/>
      <c r="E16" s="145"/>
      <c r="F16" s="145"/>
      <c r="G16" s="145"/>
      <c r="H16" s="145"/>
      <c r="I16" s="70"/>
      <c r="J16" s="70"/>
      <c r="K16" s="64"/>
    </row>
    <row r="17" spans="1:11" ht="15.75">
      <c r="A17" s="65"/>
      <c r="B17" s="65"/>
      <c r="C17" s="58">
        <v>10</v>
      </c>
      <c r="D17" s="67" t="s">
        <v>319</v>
      </c>
      <c r="E17" s="67" t="s">
        <v>13</v>
      </c>
      <c r="F17" s="60" t="s">
        <v>320</v>
      </c>
      <c r="G17" s="61">
        <v>238</v>
      </c>
      <c r="H17" s="61">
        <v>2</v>
      </c>
      <c r="I17" s="58">
        <f>G17*20.41*H17</f>
        <v>9715.16</v>
      </c>
      <c r="J17" s="61">
        <v>5742.7</v>
      </c>
      <c r="K17" s="64">
        <f>I17/12/5742.7</f>
        <v>0.14097840156488528</v>
      </c>
    </row>
    <row r="18" spans="1:11" ht="15.75">
      <c r="A18" s="71"/>
      <c r="B18" s="71"/>
      <c r="C18" s="72">
        <v>11</v>
      </c>
      <c r="D18" s="73" t="s">
        <v>47</v>
      </c>
      <c r="E18" s="74"/>
      <c r="F18" s="75"/>
      <c r="G18" s="61"/>
      <c r="H18" s="61"/>
      <c r="I18" s="76"/>
      <c r="J18" s="61"/>
      <c r="K18" s="64"/>
    </row>
    <row r="19" spans="1:11" ht="20.25" customHeight="1">
      <c r="A19" s="71">
        <v>918</v>
      </c>
      <c r="B19" s="71" t="s">
        <v>50</v>
      </c>
      <c r="C19" s="58">
        <v>12</v>
      </c>
      <c r="D19" s="74" t="s">
        <v>321</v>
      </c>
      <c r="E19" s="74" t="s">
        <v>68</v>
      </c>
      <c r="F19" s="75" t="s">
        <v>136</v>
      </c>
      <c r="G19" s="61">
        <v>3.5</v>
      </c>
      <c r="H19" s="61">
        <v>1</v>
      </c>
      <c r="I19" s="58">
        <f>G19*1202.36</f>
        <v>4208.259999999999</v>
      </c>
      <c r="J19" s="61">
        <v>5772.7</v>
      </c>
      <c r="K19" s="64">
        <f aca="true" t="shared" si="1" ref="K19:K86">I19/12/5742.7</f>
        <v>0.061066803652172895</v>
      </c>
    </row>
    <row r="20" spans="1:11" ht="20.25" customHeight="1">
      <c r="A20" s="71"/>
      <c r="B20" s="71"/>
      <c r="C20" s="58"/>
      <c r="D20" s="74" t="s">
        <v>458</v>
      </c>
      <c r="E20" s="74" t="s">
        <v>68</v>
      </c>
      <c r="F20" s="75" t="s">
        <v>136</v>
      </c>
      <c r="G20" s="61">
        <v>3.5</v>
      </c>
      <c r="H20" s="61"/>
      <c r="I20" s="58">
        <f>G20*268.1</f>
        <v>938.3500000000001</v>
      </c>
      <c r="J20" s="61">
        <v>5742.7</v>
      </c>
      <c r="K20" s="64">
        <f t="shared" si="1"/>
        <v>0.01361656247641934</v>
      </c>
    </row>
    <row r="21" spans="1:11" ht="20.25" customHeight="1">
      <c r="A21" s="71"/>
      <c r="B21" s="71"/>
      <c r="C21" s="72">
        <v>13</v>
      </c>
      <c r="D21" s="74" t="s">
        <v>322</v>
      </c>
      <c r="E21" s="74" t="s">
        <v>68</v>
      </c>
      <c r="F21" s="75" t="s">
        <v>323</v>
      </c>
      <c r="G21" s="61">
        <v>20</v>
      </c>
      <c r="H21" s="58">
        <v>1</v>
      </c>
      <c r="I21" s="58">
        <f>G21*H21*24.88</f>
        <v>497.59999999999997</v>
      </c>
      <c r="J21" s="61">
        <v>5742.7</v>
      </c>
      <c r="K21" s="64">
        <f t="shared" si="1"/>
        <v>0.007220761430453735</v>
      </c>
    </row>
    <row r="22" spans="1:11" ht="18" customHeight="1">
      <c r="A22" s="68"/>
      <c r="B22" s="77"/>
      <c r="C22" s="72">
        <v>15</v>
      </c>
      <c r="D22" s="78" t="s">
        <v>324</v>
      </c>
      <c r="E22" s="74" t="s">
        <v>68</v>
      </c>
      <c r="F22" s="75" t="s">
        <v>323</v>
      </c>
      <c r="G22" s="61"/>
      <c r="H22" s="79">
        <v>6</v>
      </c>
      <c r="I22" s="80">
        <f>26.22*10*G22*H22</f>
        <v>0</v>
      </c>
      <c r="J22" s="61">
        <v>5742.7</v>
      </c>
      <c r="K22" s="64">
        <f t="shared" si="1"/>
        <v>0</v>
      </c>
    </row>
    <row r="23" spans="1:11" ht="18" customHeight="1">
      <c r="A23" s="68"/>
      <c r="B23" s="77"/>
      <c r="C23" s="72"/>
      <c r="D23" s="78" t="s">
        <v>325</v>
      </c>
      <c r="E23" s="74" t="s">
        <v>68</v>
      </c>
      <c r="F23" s="75" t="s">
        <v>136</v>
      </c>
      <c r="G23" s="61">
        <v>24</v>
      </c>
      <c r="H23" s="79">
        <v>6</v>
      </c>
      <c r="I23" s="80">
        <f>G23*H23*15.94</f>
        <v>2295.36</v>
      </c>
      <c r="J23" s="61">
        <v>5742.7</v>
      </c>
      <c r="K23" s="64">
        <f t="shared" si="1"/>
        <v>0.033308374109739323</v>
      </c>
    </row>
    <row r="24" spans="1:11" ht="15.75">
      <c r="A24" s="68"/>
      <c r="B24" s="77"/>
      <c r="C24" s="69"/>
      <c r="D24" s="81" t="s">
        <v>326</v>
      </c>
      <c r="E24" s="69"/>
      <c r="F24" s="69"/>
      <c r="G24" s="61"/>
      <c r="H24" s="69"/>
      <c r="I24" s="82"/>
      <c r="J24" s="61"/>
      <c r="K24" s="64"/>
    </row>
    <row r="25" spans="1:11" ht="27" customHeight="1" hidden="1">
      <c r="A25" s="71">
        <v>1</v>
      </c>
      <c r="B25" s="71" t="s">
        <v>27</v>
      </c>
      <c r="C25" s="72">
        <v>17</v>
      </c>
      <c r="D25" s="74" t="s">
        <v>327</v>
      </c>
      <c r="E25" s="74" t="s">
        <v>328</v>
      </c>
      <c r="F25" s="75" t="s">
        <v>329</v>
      </c>
      <c r="G25" s="61"/>
      <c r="H25" s="61"/>
      <c r="I25" s="58">
        <f>G25*188.16</f>
        <v>0</v>
      </c>
      <c r="J25" s="61">
        <v>7294</v>
      </c>
      <c r="K25" s="64">
        <f t="shared" si="1"/>
        <v>0</v>
      </c>
    </row>
    <row r="26" spans="1:11" ht="27" customHeight="1">
      <c r="A26" s="71"/>
      <c r="B26" s="71"/>
      <c r="C26" s="72"/>
      <c r="D26" s="74" t="s">
        <v>442</v>
      </c>
      <c r="E26" s="74" t="s">
        <v>328</v>
      </c>
      <c r="F26" s="75" t="s">
        <v>136</v>
      </c>
      <c r="G26" s="61">
        <f>3+3+3+37+3</f>
        <v>49</v>
      </c>
      <c r="H26" s="61"/>
      <c r="I26" s="58">
        <f>G26*497.5</f>
        <v>24377.5</v>
      </c>
      <c r="J26" s="61">
        <v>5742.7</v>
      </c>
      <c r="K26" s="64">
        <f t="shared" si="1"/>
        <v>0.35374620532734313</v>
      </c>
    </row>
    <row r="27" spans="1:11" ht="16.5" customHeight="1">
      <c r="A27" s="71"/>
      <c r="B27" s="71"/>
      <c r="C27" s="72"/>
      <c r="D27" s="73" t="s">
        <v>32</v>
      </c>
      <c r="E27" s="74"/>
      <c r="F27" s="75"/>
      <c r="G27" s="61"/>
      <c r="H27" s="61"/>
      <c r="I27" s="76"/>
      <c r="J27" s="61"/>
      <c r="K27" s="64"/>
    </row>
    <row r="28" spans="1:11" ht="30" customHeight="1">
      <c r="A28" s="71">
        <v>5</v>
      </c>
      <c r="B28" s="71" t="s">
        <v>38</v>
      </c>
      <c r="C28" s="72">
        <v>18</v>
      </c>
      <c r="D28" s="74" t="s">
        <v>39</v>
      </c>
      <c r="E28" s="74" t="s">
        <v>60</v>
      </c>
      <c r="F28" s="75" t="s">
        <v>40</v>
      </c>
      <c r="G28" s="61">
        <f>5+6+12+4.5+6+6.8+4+1.2</f>
        <v>45.5</v>
      </c>
      <c r="H28" s="61">
        <v>2</v>
      </c>
      <c r="I28" s="58">
        <f>384*G28*H28</f>
        <v>34944</v>
      </c>
      <c r="J28" s="61">
        <v>5742.7</v>
      </c>
      <c r="K28" s="64">
        <f t="shared" si="1"/>
        <v>0.507078551900674</v>
      </c>
    </row>
    <row r="29" spans="1:11" ht="22.5">
      <c r="A29" s="71"/>
      <c r="B29" s="71"/>
      <c r="C29" s="72">
        <v>19</v>
      </c>
      <c r="D29" s="74" t="s">
        <v>330</v>
      </c>
      <c r="E29" s="74" t="s">
        <v>60</v>
      </c>
      <c r="F29" s="75" t="s">
        <v>170</v>
      </c>
      <c r="G29" s="61">
        <f>2+2+10+3+4+8+1</f>
        <v>30</v>
      </c>
      <c r="H29" s="61"/>
      <c r="I29" s="58">
        <f>G29*131.742</f>
        <v>3952.2599999999998</v>
      </c>
      <c r="J29" s="61">
        <v>5742.7</v>
      </c>
      <c r="K29" s="64">
        <f t="shared" si="1"/>
        <v>0.05735194246608737</v>
      </c>
    </row>
    <row r="30" spans="1:11" ht="22.5">
      <c r="A30" s="71"/>
      <c r="B30" s="71"/>
      <c r="C30" s="72">
        <v>20</v>
      </c>
      <c r="D30" s="74" t="s">
        <v>331</v>
      </c>
      <c r="E30" s="74" t="s">
        <v>60</v>
      </c>
      <c r="F30" s="75" t="s">
        <v>136</v>
      </c>
      <c r="G30" s="61">
        <f>9+9</f>
        <v>18</v>
      </c>
      <c r="H30" s="61">
        <v>2</v>
      </c>
      <c r="I30" s="58">
        <f>10.356*G30*H30</f>
        <v>372.816</v>
      </c>
      <c r="J30" s="61">
        <v>5742.7</v>
      </c>
      <c r="K30" s="64">
        <f t="shared" si="1"/>
        <v>0.005409998781061173</v>
      </c>
    </row>
    <row r="31" spans="1:11" ht="22.5">
      <c r="A31" s="71"/>
      <c r="B31" s="71"/>
      <c r="C31" s="72">
        <v>21</v>
      </c>
      <c r="D31" s="74" t="s">
        <v>332</v>
      </c>
      <c r="E31" s="74" t="s">
        <v>60</v>
      </c>
      <c r="F31" s="75" t="s">
        <v>333</v>
      </c>
      <c r="G31" s="61">
        <f>1+1+1+1+4+1+2</f>
        <v>11</v>
      </c>
      <c r="H31" s="61"/>
      <c r="I31" s="58">
        <f>G31*108.42</f>
        <v>1192.6200000000001</v>
      </c>
      <c r="J31" s="61">
        <v>5742.7</v>
      </c>
      <c r="K31" s="64">
        <f t="shared" si="1"/>
        <v>0.01730631932714577</v>
      </c>
    </row>
    <row r="32" spans="1:11" ht="22.5">
      <c r="A32" s="71"/>
      <c r="B32" s="71"/>
      <c r="C32" s="72">
        <v>22</v>
      </c>
      <c r="D32" s="74" t="s">
        <v>459</v>
      </c>
      <c r="E32" s="74" t="s">
        <v>328</v>
      </c>
      <c r="F32" s="75" t="s">
        <v>136</v>
      </c>
      <c r="G32" s="61">
        <v>4.3</v>
      </c>
      <c r="H32" s="61"/>
      <c r="I32" s="58">
        <f>G32*180.36</f>
        <v>775.548</v>
      </c>
      <c r="J32" s="61">
        <v>5742.7</v>
      </c>
      <c r="K32" s="64">
        <f t="shared" si="1"/>
        <v>0.011254113918540061</v>
      </c>
    </row>
    <row r="33" spans="1:11" ht="23.25" customHeight="1">
      <c r="A33" s="71"/>
      <c r="B33" s="71"/>
      <c r="C33" s="72"/>
      <c r="D33" s="74" t="s">
        <v>334</v>
      </c>
      <c r="E33" s="74" t="s">
        <v>60</v>
      </c>
      <c r="F33" s="75" t="s">
        <v>333</v>
      </c>
      <c r="G33" s="61">
        <f>2</f>
        <v>2</v>
      </c>
      <c r="H33" s="61"/>
      <c r="I33" s="58">
        <f>G33*411.41</f>
        <v>822.82</v>
      </c>
      <c r="J33" s="61">
        <v>5742.7</v>
      </c>
      <c r="K33" s="64">
        <f t="shared" si="1"/>
        <v>0.011940086254433166</v>
      </c>
    </row>
    <row r="34" spans="1:11" ht="23.25" customHeight="1">
      <c r="A34" s="71"/>
      <c r="B34" s="71"/>
      <c r="C34" s="72"/>
      <c r="D34" s="74" t="s">
        <v>455</v>
      </c>
      <c r="E34" s="74" t="s">
        <v>60</v>
      </c>
      <c r="F34" s="75" t="s">
        <v>348</v>
      </c>
      <c r="G34" s="61">
        <f>10+2+7+16+12</f>
        <v>47</v>
      </c>
      <c r="H34" s="61"/>
      <c r="I34" s="58">
        <f>G34*17.629</f>
        <v>828.5630000000001</v>
      </c>
      <c r="J34" s="61">
        <v>5742.7</v>
      </c>
      <c r="K34" s="64">
        <f t="shared" si="1"/>
        <v>0.012023423941119452</v>
      </c>
    </row>
    <row r="35" spans="1:11" ht="15.75">
      <c r="A35" s="71"/>
      <c r="B35" s="71"/>
      <c r="C35" s="72"/>
      <c r="D35" s="73" t="s">
        <v>335</v>
      </c>
      <c r="E35" s="74"/>
      <c r="F35" s="75"/>
      <c r="G35" s="61"/>
      <c r="H35" s="61"/>
      <c r="I35" s="83"/>
      <c r="J35" s="61"/>
      <c r="K35" s="64"/>
    </row>
    <row r="36" spans="1:11" ht="22.5">
      <c r="A36" s="71"/>
      <c r="B36" s="71"/>
      <c r="C36" s="72"/>
      <c r="D36" s="74" t="s">
        <v>443</v>
      </c>
      <c r="E36" s="74" t="s">
        <v>328</v>
      </c>
      <c r="F36" s="75" t="s">
        <v>136</v>
      </c>
      <c r="G36" s="61"/>
      <c r="H36" s="61">
        <v>1</v>
      </c>
      <c r="I36" s="58">
        <f>G36*19.23</f>
        <v>0</v>
      </c>
      <c r="J36" s="61">
        <v>5742.7</v>
      </c>
      <c r="K36" s="64">
        <f t="shared" si="1"/>
        <v>0</v>
      </c>
    </row>
    <row r="37" spans="1:11" ht="22.5" hidden="1">
      <c r="A37" s="71"/>
      <c r="B37" s="71"/>
      <c r="C37" s="72"/>
      <c r="D37" s="74" t="s">
        <v>336</v>
      </c>
      <c r="E37" s="74" t="s">
        <v>60</v>
      </c>
      <c r="F37" s="75" t="s">
        <v>136</v>
      </c>
      <c r="G37" s="61"/>
      <c r="H37" s="61">
        <v>1</v>
      </c>
      <c r="I37" s="58"/>
      <c r="J37" s="61">
        <v>5742.7</v>
      </c>
      <c r="K37" s="64">
        <f t="shared" si="1"/>
        <v>0</v>
      </c>
    </row>
    <row r="38" spans="1:11" ht="22.5" hidden="1">
      <c r="A38" s="71"/>
      <c r="B38" s="71"/>
      <c r="C38" s="72"/>
      <c r="D38" s="74" t="s">
        <v>337</v>
      </c>
      <c r="E38" s="74" t="s">
        <v>328</v>
      </c>
      <c r="F38" s="75" t="s">
        <v>311</v>
      </c>
      <c r="G38" s="61"/>
      <c r="H38" s="61"/>
      <c r="I38" s="58"/>
      <c r="J38" s="61">
        <v>5742.7</v>
      </c>
      <c r="K38" s="64">
        <f t="shared" si="1"/>
        <v>0</v>
      </c>
    </row>
    <row r="39" spans="1:11" ht="22.5">
      <c r="A39" s="71"/>
      <c r="B39" s="71"/>
      <c r="C39" s="72"/>
      <c r="D39" s="74" t="s">
        <v>433</v>
      </c>
      <c r="E39" s="74" t="s">
        <v>328</v>
      </c>
      <c r="F39" s="75" t="s">
        <v>136</v>
      </c>
      <c r="G39" s="61">
        <f>10+5+5+5+5</f>
        <v>30</v>
      </c>
      <c r="H39" s="61"/>
      <c r="I39" s="58">
        <f>G39*183.51</f>
        <v>5505.299999999999</v>
      </c>
      <c r="J39" s="61">
        <v>5742.7</v>
      </c>
      <c r="K39" s="64">
        <f t="shared" si="1"/>
        <v>0.07988838003029933</v>
      </c>
    </row>
    <row r="40" spans="1:11" ht="22.5">
      <c r="A40" s="71"/>
      <c r="B40" s="71"/>
      <c r="C40" s="72"/>
      <c r="D40" s="74" t="s">
        <v>453</v>
      </c>
      <c r="E40" s="74" t="s">
        <v>328</v>
      </c>
      <c r="F40" s="75" t="s">
        <v>136</v>
      </c>
      <c r="G40" s="61">
        <f>1+2+1+1+1+1</f>
        <v>7</v>
      </c>
      <c r="H40" s="61"/>
      <c r="I40" s="58">
        <f>G40*6199.86</f>
        <v>43399.02</v>
      </c>
      <c r="J40" s="61">
        <v>5742.7</v>
      </c>
      <c r="K40" s="64">
        <f t="shared" si="1"/>
        <v>0.6297708395005833</v>
      </c>
    </row>
    <row r="41" spans="1:11" ht="15.75">
      <c r="A41" s="71"/>
      <c r="B41" s="71"/>
      <c r="C41" s="72"/>
      <c r="D41" s="73" t="s">
        <v>338</v>
      </c>
      <c r="E41" s="74"/>
      <c r="F41" s="75"/>
      <c r="G41" s="61"/>
      <c r="H41" s="61"/>
      <c r="I41" s="58"/>
      <c r="J41" s="61"/>
      <c r="K41" s="64"/>
    </row>
    <row r="42" spans="1:11" ht="21.75" customHeight="1">
      <c r="A42" s="71"/>
      <c r="B42" s="71"/>
      <c r="C42" s="72"/>
      <c r="D42" s="74" t="s">
        <v>339</v>
      </c>
      <c r="E42" s="74" t="s">
        <v>60</v>
      </c>
      <c r="F42" s="75" t="s">
        <v>136</v>
      </c>
      <c r="G42" s="61"/>
      <c r="H42" s="61">
        <v>1</v>
      </c>
      <c r="I42" s="58">
        <f>G42*287.3</f>
        <v>0</v>
      </c>
      <c r="J42" s="61">
        <v>5742.7</v>
      </c>
      <c r="K42" s="64">
        <f t="shared" si="1"/>
        <v>0</v>
      </c>
    </row>
    <row r="43" spans="1:11" ht="22.5" hidden="1">
      <c r="A43" s="71"/>
      <c r="B43" s="71"/>
      <c r="C43" s="72"/>
      <c r="D43" s="74" t="s">
        <v>340</v>
      </c>
      <c r="E43" s="74" t="s">
        <v>60</v>
      </c>
      <c r="F43" s="75" t="s">
        <v>288</v>
      </c>
      <c r="G43" s="61"/>
      <c r="H43" s="61"/>
      <c r="I43" s="58"/>
      <c r="J43" s="61">
        <v>5742.7</v>
      </c>
      <c r="K43" s="64">
        <f t="shared" si="1"/>
        <v>0</v>
      </c>
    </row>
    <row r="44" spans="1:11" ht="22.5">
      <c r="A44" s="71"/>
      <c r="B44" s="71"/>
      <c r="C44" s="72"/>
      <c r="D44" s="74" t="s">
        <v>456</v>
      </c>
      <c r="E44" s="74" t="s">
        <v>60</v>
      </c>
      <c r="F44" s="75" t="s">
        <v>136</v>
      </c>
      <c r="G44" s="61">
        <v>14</v>
      </c>
      <c r="H44" s="61"/>
      <c r="I44" s="58">
        <f>G44*29.76</f>
        <v>416.64000000000004</v>
      </c>
      <c r="J44" s="61">
        <v>5742.7</v>
      </c>
      <c r="K44" s="64">
        <f t="shared" si="1"/>
        <v>0.00604593658035419</v>
      </c>
    </row>
    <row r="45" spans="1:11" ht="22.5" customHeight="1">
      <c r="A45" s="71"/>
      <c r="B45" s="71"/>
      <c r="C45" s="151" t="s">
        <v>341</v>
      </c>
      <c r="D45" s="151"/>
      <c r="E45" s="151"/>
      <c r="F45" s="151"/>
      <c r="G45" s="151"/>
      <c r="H45" s="151"/>
      <c r="I45" s="85"/>
      <c r="J45" s="61"/>
      <c r="K45" s="64"/>
    </row>
    <row r="46" spans="1:11" ht="18" customHeight="1">
      <c r="A46" s="71"/>
      <c r="B46" s="71"/>
      <c r="C46" s="72"/>
      <c r="D46" s="73" t="s">
        <v>342</v>
      </c>
      <c r="E46" s="84"/>
      <c r="F46" s="84"/>
      <c r="G46" s="84"/>
      <c r="H46" s="84"/>
      <c r="I46" s="84"/>
      <c r="J46" s="61"/>
      <c r="K46" s="64"/>
    </row>
    <row r="47" spans="1:11" ht="15.75" hidden="1">
      <c r="A47" s="71"/>
      <c r="B47" s="71"/>
      <c r="C47" s="72">
        <v>23</v>
      </c>
      <c r="D47" s="74" t="s">
        <v>343</v>
      </c>
      <c r="E47" s="74" t="s">
        <v>21</v>
      </c>
      <c r="F47" s="75" t="s">
        <v>309</v>
      </c>
      <c r="G47" s="61">
        <v>0</v>
      </c>
      <c r="H47" s="61">
        <v>3</v>
      </c>
      <c r="I47" s="83">
        <v>0</v>
      </c>
      <c r="J47" s="61">
        <v>5742.7</v>
      </c>
      <c r="K47" s="64">
        <f t="shared" si="1"/>
        <v>0</v>
      </c>
    </row>
    <row r="48" spans="1:11" ht="15.75">
      <c r="A48" s="71">
        <v>20</v>
      </c>
      <c r="B48" s="71"/>
      <c r="C48" s="72">
        <v>24</v>
      </c>
      <c r="D48" s="74" t="s">
        <v>344</v>
      </c>
      <c r="E48" s="74" t="s">
        <v>345</v>
      </c>
      <c r="F48" s="75" t="s">
        <v>333</v>
      </c>
      <c r="G48" s="61">
        <v>3</v>
      </c>
      <c r="H48" s="61">
        <v>12</v>
      </c>
      <c r="I48" s="58">
        <f>G48*H48*37</f>
        <v>1332</v>
      </c>
      <c r="J48" s="61">
        <v>5742.7</v>
      </c>
      <c r="K48" s="64">
        <f t="shared" si="1"/>
        <v>0.019328887108851237</v>
      </c>
    </row>
    <row r="49" spans="1:11" ht="45" customHeight="1">
      <c r="A49" s="143" t="s">
        <v>56</v>
      </c>
      <c r="B49" s="143"/>
      <c r="C49" s="72">
        <v>25</v>
      </c>
      <c r="D49" s="78" t="s">
        <v>346</v>
      </c>
      <c r="E49" s="74" t="s">
        <v>347</v>
      </c>
      <c r="F49" s="61" t="s">
        <v>309</v>
      </c>
      <c r="G49" s="61">
        <v>119</v>
      </c>
      <c r="H49" s="61"/>
      <c r="I49" s="58">
        <f>(107.61+538.05+7471.34)*2</f>
        <v>16234</v>
      </c>
      <c r="J49" s="61">
        <v>5742.7</v>
      </c>
      <c r="K49" s="64">
        <f t="shared" si="1"/>
        <v>0.2355744394332515</v>
      </c>
    </row>
    <row r="50" spans="1:11" ht="25.5" customHeight="1">
      <c r="A50" s="68"/>
      <c r="B50" s="68"/>
      <c r="C50" s="72"/>
      <c r="D50" s="78" t="s">
        <v>429</v>
      </c>
      <c r="E50" s="74" t="s">
        <v>60</v>
      </c>
      <c r="F50" s="61" t="s">
        <v>309</v>
      </c>
      <c r="G50" s="61">
        <v>47</v>
      </c>
      <c r="H50" s="61">
        <v>1</v>
      </c>
      <c r="I50" s="58">
        <f>G50*24.079</f>
        <v>1131.713</v>
      </c>
      <c r="J50" s="61">
        <v>5742.7</v>
      </c>
      <c r="K50" s="64">
        <f t="shared" si="1"/>
        <v>0.016422487099564086</v>
      </c>
    </row>
    <row r="51" spans="1:11" ht="21.75" customHeight="1" hidden="1">
      <c r="A51" s="68"/>
      <c r="B51" s="68"/>
      <c r="C51" s="72"/>
      <c r="D51" s="78" t="s">
        <v>449</v>
      </c>
      <c r="E51" s="74" t="s">
        <v>60</v>
      </c>
      <c r="F51" s="61" t="s">
        <v>348</v>
      </c>
      <c r="G51" s="61"/>
      <c r="H51" s="61"/>
      <c r="I51" s="58">
        <f>G51*2090.26</f>
        <v>0</v>
      </c>
      <c r="J51" s="61">
        <v>5742.7</v>
      </c>
      <c r="K51" s="64">
        <f t="shared" si="1"/>
        <v>0</v>
      </c>
    </row>
    <row r="52" spans="1:11" ht="27" customHeight="1" hidden="1">
      <c r="A52" s="68"/>
      <c r="B52" s="68"/>
      <c r="C52" s="72"/>
      <c r="D52" s="78" t="s">
        <v>349</v>
      </c>
      <c r="E52" s="74" t="s">
        <v>60</v>
      </c>
      <c r="F52" s="61" t="s">
        <v>348</v>
      </c>
      <c r="G52" s="61"/>
      <c r="H52" s="61"/>
      <c r="I52" s="58">
        <f>G52*1191.47</f>
        <v>0</v>
      </c>
      <c r="J52" s="61">
        <v>5742.7</v>
      </c>
      <c r="K52" s="64">
        <f t="shared" si="1"/>
        <v>0</v>
      </c>
    </row>
    <row r="53" spans="1:11" ht="29.25" customHeight="1" hidden="1">
      <c r="A53" s="68"/>
      <c r="B53" s="68"/>
      <c r="C53" s="72"/>
      <c r="D53" s="78" t="s">
        <v>350</v>
      </c>
      <c r="E53" s="74" t="s">
        <v>60</v>
      </c>
      <c r="F53" s="61" t="s">
        <v>348</v>
      </c>
      <c r="G53" s="61"/>
      <c r="H53" s="61"/>
      <c r="I53" s="58">
        <f>G53*1542.93</f>
        <v>0</v>
      </c>
      <c r="J53" s="61">
        <v>5742.7</v>
      </c>
      <c r="K53" s="64">
        <f t="shared" si="1"/>
        <v>0</v>
      </c>
    </row>
    <row r="54" spans="1:11" ht="29.25" customHeight="1">
      <c r="A54" s="68"/>
      <c r="B54" s="68"/>
      <c r="C54" s="72"/>
      <c r="D54" s="78" t="s">
        <v>450</v>
      </c>
      <c r="E54" s="74" t="s">
        <v>60</v>
      </c>
      <c r="F54" s="61" t="s">
        <v>348</v>
      </c>
      <c r="G54" s="61">
        <f>3+2+3+1</f>
        <v>9</v>
      </c>
      <c r="H54" s="61"/>
      <c r="I54" s="58">
        <f>G54*154.293</f>
        <v>1388.6370000000002</v>
      </c>
      <c r="J54" s="61">
        <v>5742.7</v>
      </c>
      <c r="K54" s="64">
        <f t="shared" si="1"/>
        <v>0.02015075661274314</v>
      </c>
    </row>
    <row r="55" spans="1:11" ht="29.25" customHeight="1">
      <c r="A55" s="68"/>
      <c r="B55" s="68"/>
      <c r="C55" s="72"/>
      <c r="D55" s="78" t="s">
        <v>451</v>
      </c>
      <c r="E55" s="74" t="s">
        <v>60</v>
      </c>
      <c r="F55" s="61" t="s">
        <v>348</v>
      </c>
      <c r="G55" s="61">
        <f>15+4+6+2+1.5</f>
        <v>28.5</v>
      </c>
      <c r="H55" s="61"/>
      <c r="I55" s="58">
        <f>G55*748.94</f>
        <v>21344.79</v>
      </c>
      <c r="J55" s="61">
        <v>5742.7</v>
      </c>
      <c r="K55" s="64">
        <f t="shared" si="1"/>
        <v>0.3097380152193219</v>
      </c>
    </row>
    <row r="56" spans="1:11" ht="29.25" customHeight="1" hidden="1">
      <c r="A56" s="68"/>
      <c r="B56" s="68"/>
      <c r="C56" s="72"/>
      <c r="D56" s="78" t="s">
        <v>452</v>
      </c>
      <c r="E56" s="74" t="s">
        <v>60</v>
      </c>
      <c r="F56" s="61" t="s">
        <v>348</v>
      </c>
      <c r="G56" s="61"/>
      <c r="H56" s="61"/>
      <c r="I56" s="58">
        <f>G56*989.9</f>
        <v>0</v>
      </c>
      <c r="J56" s="61">
        <v>5742.7</v>
      </c>
      <c r="K56" s="64">
        <f t="shared" si="1"/>
        <v>0</v>
      </c>
    </row>
    <row r="57" spans="1:11" ht="29.25" customHeight="1" hidden="1">
      <c r="A57" s="68"/>
      <c r="B57" s="68"/>
      <c r="C57" s="72"/>
      <c r="D57" s="78" t="s">
        <v>351</v>
      </c>
      <c r="E57" s="74" t="s">
        <v>60</v>
      </c>
      <c r="F57" s="61" t="s">
        <v>348</v>
      </c>
      <c r="G57" s="61"/>
      <c r="H57" s="61"/>
      <c r="I57" s="58">
        <f>G57*688</f>
        <v>0</v>
      </c>
      <c r="J57" s="61">
        <v>5742.7</v>
      </c>
      <c r="K57" s="64">
        <f t="shared" si="1"/>
        <v>0</v>
      </c>
    </row>
    <row r="58" spans="1:11" ht="29.25" customHeight="1">
      <c r="A58" s="68"/>
      <c r="B58" s="68"/>
      <c r="C58" s="72"/>
      <c r="D58" s="78" t="s">
        <v>352</v>
      </c>
      <c r="E58" s="74" t="s">
        <v>60</v>
      </c>
      <c r="F58" s="61" t="s">
        <v>353</v>
      </c>
      <c r="G58" s="61">
        <f>1+1+1+2+2+2+1</f>
        <v>10</v>
      </c>
      <c r="H58" s="61"/>
      <c r="I58" s="58">
        <f>G58*285.354</f>
        <v>2853.54</v>
      </c>
      <c r="J58" s="61">
        <v>5742.7</v>
      </c>
      <c r="K58" s="64">
        <f t="shared" si="1"/>
        <v>0.04140822261305657</v>
      </c>
    </row>
    <row r="59" spans="1:11" ht="29.25" customHeight="1" hidden="1">
      <c r="A59" s="68"/>
      <c r="B59" s="68"/>
      <c r="C59" s="72"/>
      <c r="D59" s="78" t="s">
        <v>354</v>
      </c>
      <c r="E59" s="74" t="s">
        <v>60</v>
      </c>
      <c r="F59" s="61" t="s">
        <v>353</v>
      </c>
      <c r="G59" s="61"/>
      <c r="H59" s="61"/>
      <c r="I59" s="58">
        <f>G59*2790.59</f>
        <v>0</v>
      </c>
      <c r="J59" s="61">
        <v>5742.7</v>
      </c>
      <c r="K59" s="64">
        <f t="shared" si="1"/>
        <v>0</v>
      </c>
    </row>
    <row r="60" spans="1:11" ht="29.25" customHeight="1" hidden="1">
      <c r="A60" s="68"/>
      <c r="B60" s="68"/>
      <c r="C60" s="72"/>
      <c r="D60" s="78" t="s">
        <v>355</v>
      </c>
      <c r="E60" s="74" t="s">
        <v>60</v>
      </c>
      <c r="F60" s="61" t="s">
        <v>353</v>
      </c>
      <c r="G60" s="61"/>
      <c r="H60" s="61"/>
      <c r="I60" s="58">
        <f>G60*1427.65</f>
        <v>0</v>
      </c>
      <c r="J60" s="61">
        <v>5742.7</v>
      </c>
      <c r="K60" s="64">
        <f t="shared" si="1"/>
        <v>0</v>
      </c>
    </row>
    <row r="61" spans="1:11" ht="24.75" customHeight="1" hidden="1">
      <c r="A61" s="68"/>
      <c r="B61" s="68"/>
      <c r="C61" s="72"/>
      <c r="D61" s="78" t="s">
        <v>356</v>
      </c>
      <c r="E61" s="74" t="s">
        <v>60</v>
      </c>
      <c r="F61" s="61" t="s">
        <v>348</v>
      </c>
      <c r="G61" s="61"/>
      <c r="H61" s="61"/>
      <c r="I61" s="58">
        <f>G61*406.37</f>
        <v>0</v>
      </c>
      <c r="J61" s="61">
        <v>5742.7</v>
      </c>
      <c r="K61" s="64">
        <f t="shared" si="1"/>
        <v>0</v>
      </c>
    </row>
    <row r="62" spans="1:11" ht="24.75" customHeight="1" hidden="1">
      <c r="A62" s="68"/>
      <c r="B62" s="68"/>
      <c r="C62" s="72"/>
      <c r="D62" s="78" t="s">
        <v>425</v>
      </c>
      <c r="E62" s="74" t="s">
        <v>60</v>
      </c>
      <c r="F62" s="61" t="s">
        <v>426</v>
      </c>
      <c r="G62" s="61"/>
      <c r="H62" s="61"/>
      <c r="I62" s="58">
        <f>G62*40.785</f>
        <v>0</v>
      </c>
      <c r="J62" s="61">
        <v>5742.7</v>
      </c>
      <c r="K62" s="64">
        <f t="shared" si="1"/>
        <v>0</v>
      </c>
    </row>
    <row r="63" spans="1:11" ht="22.5" customHeight="1">
      <c r="A63" s="68"/>
      <c r="B63" s="68"/>
      <c r="C63" s="72"/>
      <c r="D63" s="78" t="s">
        <v>357</v>
      </c>
      <c r="E63" s="74" t="s">
        <v>60</v>
      </c>
      <c r="F63" s="61" t="s">
        <v>333</v>
      </c>
      <c r="G63" s="61">
        <f>3+1+6+2+13+3+2</f>
        <v>30</v>
      </c>
      <c r="H63" s="61"/>
      <c r="I63" s="58">
        <f>G63*470.28</f>
        <v>14108.4</v>
      </c>
      <c r="J63" s="61">
        <v>5742.7</v>
      </c>
      <c r="K63" s="64">
        <f t="shared" si="1"/>
        <v>0.20472948264753515</v>
      </c>
    </row>
    <row r="64" spans="1:11" ht="21.75" customHeight="1">
      <c r="A64" s="68"/>
      <c r="B64" s="68"/>
      <c r="C64" s="72"/>
      <c r="D64" s="78" t="s">
        <v>358</v>
      </c>
      <c r="E64" s="74" t="s">
        <v>60</v>
      </c>
      <c r="F64" s="61" t="s">
        <v>333</v>
      </c>
      <c r="G64" s="61">
        <f>2+7+4+2+1+1+2+3+2+7+5+2+2</f>
        <v>40</v>
      </c>
      <c r="H64" s="61"/>
      <c r="I64" s="58">
        <f>G64*274.83</f>
        <v>10993.199999999999</v>
      </c>
      <c r="J64" s="61">
        <v>5742.7</v>
      </c>
      <c r="K64" s="64">
        <f t="shared" si="1"/>
        <v>0.15952426558935692</v>
      </c>
    </row>
    <row r="65" spans="1:11" ht="22.5" customHeight="1">
      <c r="A65" s="68"/>
      <c r="B65" s="68"/>
      <c r="C65" s="72"/>
      <c r="D65" s="78" t="s">
        <v>359</v>
      </c>
      <c r="E65" s="74" t="s">
        <v>60</v>
      </c>
      <c r="F65" s="61" t="s">
        <v>333</v>
      </c>
      <c r="G65" s="61">
        <f>3+1+6+4+13+3+2</f>
        <v>32</v>
      </c>
      <c r="H65" s="61"/>
      <c r="I65" s="58">
        <f>G65*254.51</f>
        <v>8144.32</v>
      </c>
      <c r="J65" s="61">
        <v>5742.7</v>
      </c>
      <c r="K65" s="64">
        <f t="shared" si="1"/>
        <v>0.1181836650588283</v>
      </c>
    </row>
    <row r="66" spans="1:11" ht="21" customHeight="1">
      <c r="A66" s="68"/>
      <c r="B66" s="68"/>
      <c r="C66" s="72"/>
      <c r="D66" s="78" t="s">
        <v>360</v>
      </c>
      <c r="E66" s="74" t="s">
        <v>60</v>
      </c>
      <c r="F66" s="61" t="s">
        <v>333</v>
      </c>
      <c r="G66" s="61">
        <f>2+7+4+2+1+1+1+3+7+2+5+2+2</f>
        <v>39</v>
      </c>
      <c r="H66" s="61"/>
      <c r="I66" s="58">
        <f>G66*217.68</f>
        <v>8489.52</v>
      </c>
      <c r="J66" s="61">
        <v>5742.7</v>
      </c>
      <c r="K66" s="64">
        <f t="shared" si="1"/>
        <v>0.12319292318944051</v>
      </c>
    </row>
    <row r="67" spans="1:11" ht="19.5" customHeight="1">
      <c r="A67" s="71">
        <v>22</v>
      </c>
      <c r="B67" s="71" t="s">
        <v>58</v>
      </c>
      <c r="C67" s="72">
        <v>26</v>
      </c>
      <c r="D67" s="78" t="s">
        <v>361</v>
      </c>
      <c r="E67" s="74" t="s">
        <v>60</v>
      </c>
      <c r="F67" s="75" t="s">
        <v>333</v>
      </c>
      <c r="G67" s="61">
        <f>35+6+25+11+9+15+24+12+11+9+12</f>
        <v>169</v>
      </c>
      <c r="H67" s="61"/>
      <c r="I67" s="58">
        <f>G67*38.449</f>
        <v>6497.880999999999</v>
      </c>
      <c r="J67" s="61">
        <v>5742.7</v>
      </c>
      <c r="K67" s="64">
        <f t="shared" si="1"/>
        <v>0.09429189811993197</v>
      </c>
    </row>
    <row r="68" spans="1:11" ht="23.25" customHeight="1">
      <c r="A68" s="71"/>
      <c r="B68" s="71"/>
      <c r="C68" s="72">
        <v>27</v>
      </c>
      <c r="D68" s="78" t="s">
        <v>362</v>
      </c>
      <c r="E68" s="74" t="s">
        <v>158</v>
      </c>
      <c r="F68" s="75" t="s">
        <v>111</v>
      </c>
      <c r="G68" s="61"/>
      <c r="H68" s="61">
        <v>1</v>
      </c>
      <c r="I68" s="128">
        <v>0</v>
      </c>
      <c r="J68" s="61">
        <v>5742.7</v>
      </c>
      <c r="K68" s="64">
        <f t="shared" si="1"/>
        <v>0</v>
      </c>
    </row>
    <row r="69" spans="1:11" ht="22.5">
      <c r="A69" s="71"/>
      <c r="B69" s="71"/>
      <c r="C69" s="72">
        <v>28</v>
      </c>
      <c r="D69" s="78" t="s">
        <v>434</v>
      </c>
      <c r="E69" s="78" t="s">
        <v>68</v>
      </c>
      <c r="F69" s="75" t="s">
        <v>111</v>
      </c>
      <c r="G69" s="61">
        <f>3+4+1+1</f>
        <v>9</v>
      </c>
      <c r="H69" s="61">
        <v>1</v>
      </c>
      <c r="I69" s="58">
        <f>G69*H69*878.68</f>
        <v>7908.12</v>
      </c>
      <c r="J69" s="61">
        <v>5742.7</v>
      </c>
      <c r="K69" s="64">
        <f t="shared" si="1"/>
        <v>0.11475612516760408</v>
      </c>
    </row>
    <row r="70" spans="1:11" ht="22.5">
      <c r="A70" s="71"/>
      <c r="B70" s="71"/>
      <c r="C70" s="72"/>
      <c r="D70" s="78" t="s">
        <v>435</v>
      </c>
      <c r="E70" s="78" t="s">
        <v>68</v>
      </c>
      <c r="F70" s="75" t="s">
        <v>333</v>
      </c>
      <c r="G70" s="61">
        <v>1</v>
      </c>
      <c r="H70" s="61"/>
      <c r="I70" s="58">
        <f>G70*366.29</f>
        <v>366.29</v>
      </c>
      <c r="J70" s="61">
        <v>5742.7</v>
      </c>
      <c r="K70" s="64">
        <f t="shared" si="1"/>
        <v>0.00531529884316901</v>
      </c>
    </row>
    <row r="71" spans="1:11" ht="22.5">
      <c r="A71" s="71"/>
      <c r="B71" s="71"/>
      <c r="C71" s="72"/>
      <c r="D71" s="78" t="s">
        <v>436</v>
      </c>
      <c r="E71" s="78" t="s">
        <v>68</v>
      </c>
      <c r="F71" s="75" t="s">
        <v>111</v>
      </c>
      <c r="G71" s="61"/>
      <c r="H71" s="61"/>
      <c r="I71" s="58">
        <f>G71*250</f>
        <v>0</v>
      </c>
      <c r="J71" s="61">
        <v>5742.7</v>
      </c>
      <c r="K71" s="64">
        <f t="shared" si="1"/>
        <v>0</v>
      </c>
    </row>
    <row r="72" spans="1:11" ht="22.5">
      <c r="A72" s="71"/>
      <c r="B72" s="71"/>
      <c r="C72" s="72"/>
      <c r="D72" s="78" t="s">
        <v>457</v>
      </c>
      <c r="E72" s="78" t="s">
        <v>68</v>
      </c>
      <c r="F72" s="75" t="s">
        <v>333</v>
      </c>
      <c r="G72" s="61">
        <f>16+13+6</f>
        <v>35</v>
      </c>
      <c r="H72" s="61"/>
      <c r="I72" s="58">
        <f>G72*148.93</f>
        <v>5212.55</v>
      </c>
      <c r="J72" s="61">
        <v>5742.7</v>
      </c>
      <c r="K72" s="64">
        <f t="shared" si="1"/>
        <v>0.07564023310753942</v>
      </c>
    </row>
    <row r="73" spans="1:11" ht="22.5">
      <c r="A73" s="71"/>
      <c r="B73" s="71"/>
      <c r="C73" s="72">
        <v>29</v>
      </c>
      <c r="D73" s="78" t="s">
        <v>363</v>
      </c>
      <c r="E73" s="74" t="s">
        <v>60</v>
      </c>
      <c r="F73" s="75" t="s">
        <v>348</v>
      </c>
      <c r="G73" s="61">
        <f>4+23+4.5+3+1+14+12+1+1.5</f>
        <v>64</v>
      </c>
      <c r="H73" s="61">
        <v>1</v>
      </c>
      <c r="I73" s="58">
        <f>G73*642.27</f>
        <v>41105.28</v>
      </c>
      <c r="J73" s="61">
        <v>5742.7</v>
      </c>
      <c r="K73" s="64">
        <f t="shared" si="1"/>
        <v>0.5964859734967872</v>
      </c>
    </row>
    <row r="74" spans="1:11" ht="22.5">
      <c r="A74" s="71"/>
      <c r="B74" s="71"/>
      <c r="C74" s="72"/>
      <c r="D74" s="78" t="s">
        <v>454</v>
      </c>
      <c r="E74" s="74" t="s">
        <v>60</v>
      </c>
      <c r="F74" s="75" t="s">
        <v>333</v>
      </c>
      <c r="G74" s="61">
        <f>1+8+1</f>
        <v>10</v>
      </c>
      <c r="H74" s="61"/>
      <c r="I74" s="58">
        <f>G74*1200</f>
        <v>12000</v>
      </c>
      <c r="J74" s="61">
        <v>5742.7</v>
      </c>
      <c r="K74" s="64">
        <f t="shared" si="1"/>
        <v>0.1741341180977589</v>
      </c>
    </row>
    <row r="75" spans="1:11" ht="22.5">
      <c r="A75" s="71"/>
      <c r="B75" s="71"/>
      <c r="C75" s="72"/>
      <c r="D75" s="78" t="s">
        <v>364</v>
      </c>
      <c r="E75" s="74" t="s">
        <v>60</v>
      </c>
      <c r="F75" s="75" t="s">
        <v>348</v>
      </c>
      <c r="G75" s="61">
        <f>110+35+25+80</f>
        <v>250</v>
      </c>
      <c r="H75" s="61">
        <v>1</v>
      </c>
      <c r="I75" s="58">
        <f>G75*150.28</f>
        <v>37570</v>
      </c>
      <c r="J75" s="61">
        <v>5742.7</v>
      </c>
      <c r="K75" s="64">
        <f t="shared" si="1"/>
        <v>0.5451849014110669</v>
      </c>
    </row>
    <row r="76" spans="1:11" ht="19.5" customHeight="1">
      <c r="A76" s="71">
        <v>66</v>
      </c>
      <c r="B76" s="71" t="s">
        <v>82</v>
      </c>
      <c r="C76" s="72">
        <v>30</v>
      </c>
      <c r="D76" s="78" t="s">
        <v>100</v>
      </c>
      <c r="E76" s="78" t="s">
        <v>68</v>
      </c>
      <c r="F76" s="75" t="s">
        <v>348</v>
      </c>
      <c r="G76" s="61">
        <f>60+16</f>
        <v>76</v>
      </c>
      <c r="H76" s="61">
        <v>12</v>
      </c>
      <c r="I76" s="58">
        <f>G76*80.28</f>
        <v>6101.28</v>
      </c>
      <c r="J76" s="61">
        <v>5742.7</v>
      </c>
      <c r="K76" s="64">
        <f t="shared" si="1"/>
        <v>0.08853675100562454</v>
      </c>
    </row>
    <row r="77" spans="1:11" ht="27.75" customHeight="1">
      <c r="A77" s="71">
        <v>73</v>
      </c>
      <c r="B77" s="71" t="s">
        <v>86</v>
      </c>
      <c r="C77" s="72">
        <v>31</v>
      </c>
      <c r="D77" s="78" t="s">
        <v>365</v>
      </c>
      <c r="E77" s="78" t="s">
        <v>23</v>
      </c>
      <c r="F77" s="75" t="s">
        <v>366</v>
      </c>
      <c r="G77" s="61">
        <v>20572</v>
      </c>
      <c r="H77" s="61">
        <v>1</v>
      </c>
      <c r="I77" s="58">
        <f>G77*H77*0.46</f>
        <v>9463.12</v>
      </c>
      <c r="J77" s="61">
        <v>5742.7</v>
      </c>
      <c r="K77" s="64">
        <f t="shared" si="1"/>
        <v>0.13732100463777203</v>
      </c>
    </row>
    <row r="78" spans="1:11" ht="27.75" customHeight="1">
      <c r="A78" s="71">
        <v>84</v>
      </c>
      <c r="B78" s="71" t="s">
        <v>91</v>
      </c>
      <c r="C78" s="72">
        <v>32</v>
      </c>
      <c r="D78" s="78" t="s">
        <v>92</v>
      </c>
      <c r="E78" s="78" t="s">
        <v>68</v>
      </c>
      <c r="F78" s="75" t="s">
        <v>74</v>
      </c>
      <c r="G78" s="61">
        <f>6+4+44+28+52+36+25+27+14+12+15</f>
        <v>263</v>
      </c>
      <c r="H78" s="61">
        <v>2</v>
      </c>
      <c r="I78" s="61">
        <f>G78*80.87</f>
        <v>21268.81</v>
      </c>
      <c r="J78" s="61">
        <v>5742.7</v>
      </c>
      <c r="K78" s="64">
        <f t="shared" si="1"/>
        <v>0.30863545602823295</v>
      </c>
    </row>
    <row r="79" spans="1:11" ht="24.75" customHeight="1">
      <c r="A79" s="71">
        <v>87</v>
      </c>
      <c r="B79" s="71" t="s">
        <v>93</v>
      </c>
      <c r="C79" s="72">
        <v>33</v>
      </c>
      <c r="D79" s="78" t="s">
        <v>94</v>
      </c>
      <c r="E79" s="78" t="s">
        <v>23</v>
      </c>
      <c r="F79" s="75" t="s">
        <v>95</v>
      </c>
      <c r="G79" s="61">
        <v>5.741</v>
      </c>
      <c r="H79" s="61">
        <v>1</v>
      </c>
      <c r="I79" s="130">
        <f>G79*H79*21.05*100</f>
        <v>12084.805</v>
      </c>
      <c r="J79" s="61">
        <v>5742.7</v>
      </c>
      <c r="K79" s="64">
        <f t="shared" si="1"/>
        <v>0.17536473842153227</v>
      </c>
    </row>
    <row r="80" spans="1:11" ht="26.25" customHeight="1">
      <c r="A80" s="71"/>
      <c r="B80" s="71"/>
      <c r="C80" s="72">
        <v>34</v>
      </c>
      <c r="D80" s="78" t="s">
        <v>367</v>
      </c>
      <c r="E80" s="74" t="s">
        <v>158</v>
      </c>
      <c r="F80" s="75" t="s">
        <v>368</v>
      </c>
      <c r="G80" s="61">
        <v>3</v>
      </c>
      <c r="H80" s="61"/>
      <c r="I80" s="129">
        <f>G80*262.56</f>
        <v>787.6800000000001</v>
      </c>
      <c r="J80" s="61">
        <v>5742.7</v>
      </c>
      <c r="K80" s="64">
        <f t="shared" si="1"/>
        <v>0.011430163511936894</v>
      </c>
    </row>
    <row r="81" spans="1:11" ht="26.25" customHeight="1">
      <c r="A81" s="71"/>
      <c r="B81" s="71"/>
      <c r="C81" s="72"/>
      <c r="D81" s="78" t="s">
        <v>425</v>
      </c>
      <c r="E81" s="74" t="s">
        <v>68</v>
      </c>
      <c r="F81" s="75" t="s">
        <v>441</v>
      </c>
      <c r="G81" s="61">
        <v>2.69</v>
      </c>
      <c r="H81" s="61"/>
      <c r="I81" s="129">
        <f>G81*0.357*1000</f>
        <v>960.3299999999999</v>
      </c>
      <c r="J81" s="61">
        <v>5742.7</v>
      </c>
      <c r="K81" s="64">
        <f t="shared" si="1"/>
        <v>0.013935518136068399</v>
      </c>
    </row>
    <row r="82" spans="1:11" ht="15.75" customHeight="1">
      <c r="A82" s="143" t="s">
        <v>101</v>
      </c>
      <c r="B82" s="143"/>
      <c r="C82" s="86"/>
      <c r="D82" s="144" t="s">
        <v>102</v>
      </c>
      <c r="E82" s="144"/>
      <c r="F82" s="144"/>
      <c r="G82" s="87">
        <v>9</v>
      </c>
      <c r="H82" s="87"/>
      <c r="I82" s="61"/>
      <c r="J82" s="61"/>
      <c r="K82" s="64"/>
    </row>
    <row r="83" spans="1:11" ht="21.75" customHeight="1">
      <c r="A83" s="68"/>
      <c r="B83" s="68"/>
      <c r="C83" s="86"/>
      <c r="D83" s="78" t="s">
        <v>104</v>
      </c>
      <c r="E83" s="78" t="s">
        <v>68</v>
      </c>
      <c r="F83" s="131" t="s">
        <v>333</v>
      </c>
      <c r="G83" s="61">
        <f>18+3+23+3+17+18+21+14+12+5+9</f>
        <v>143</v>
      </c>
      <c r="H83" s="87"/>
      <c r="I83" s="61">
        <f>G83*24.57</f>
        <v>3513.51</v>
      </c>
      <c r="J83" s="61">
        <v>5742.7</v>
      </c>
      <c r="K83" s="64">
        <f t="shared" si="1"/>
        <v>0.050985163773138074</v>
      </c>
    </row>
    <row r="84" spans="1:11" ht="24" customHeight="1">
      <c r="A84" s="68"/>
      <c r="B84" s="68"/>
      <c r="C84" s="86"/>
      <c r="D84" s="78" t="s">
        <v>369</v>
      </c>
      <c r="E84" s="78" t="s">
        <v>68</v>
      </c>
      <c r="F84" s="131" t="s">
        <v>333</v>
      </c>
      <c r="G84" s="61">
        <f>1+1+1</f>
        <v>3</v>
      </c>
      <c r="H84" s="87"/>
      <c r="I84" s="58">
        <f>G84*108.21*10</f>
        <v>3246.3</v>
      </c>
      <c r="J84" s="61">
        <v>5742.7</v>
      </c>
      <c r="K84" s="64">
        <f t="shared" si="1"/>
        <v>0.047107632298396235</v>
      </c>
    </row>
    <row r="85" spans="1:11" ht="22.5" customHeight="1">
      <c r="A85" s="68"/>
      <c r="B85" s="68"/>
      <c r="C85" s="86"/>
      <c r="D85" s="78" t="s">
        <v>370</v>
      </c>
      <c r="E85" s="78" t="s">
        <v>68</v>
      </c>
      <c r="F85" s="131" t="s">
        <v>333</v>
      </c>
      <c r="G85" s="61">
        <v>2</v>
      </c>
      <c r="H85" s="87"/>
      <c r="I85" s="61">
        <f>G85*311.67</f>
        <v>623.34</v>
      </c>
      <c r="J85" s="61">
        <v>5742.7</v>
      </c>
      <c r="K85" s="64">
        <f t="shared" si="1"/>
        <v>0.009045396764588086</v>
      </c>
    </row>
    <row r="86" spans="1:11" ht="19.5" customHeight="1" hidden="1">
      <c r="A86" s="68"/>
      <c r="B86" s="68"/>
      <c r="C86" s="86"/>
      <c r="D86" s="78" t="s">
        <v>371</v>
      </c>
      <c r="E86" s="78" t="s">
        <v>68</v>
      </c>
      <c r="F86" s="131" t="s">
        <v>333</v>
      </c>
      <c r="G86" s="61"/>
      <c r="H86" s="87"/>
      <c r="I86" s="61">
        <f>G86*1065.68</f>
        <v>0</v>
      </c>
      <c r="J86" s="61">
        <v>5742.7</v>
      </c>
      <c r="K86" s="64">
        <f t="shared" si="1"/>
        <v>0</v>
      </c>
    </row>
    <row r="87" spans="1:11" ht="19.5" customHeight="1" hidden="1">
      <c r="A87" s="68"/>
      <c r="B87" s="68"/>
      <c r="C87" s="86"/>
      <c r="D87" s="78" t="s">
        <v>372</v>
      </c>
      <c r="E87" s="78" t="s">
        <v>68</v>
      </c>
      <c r="F87" s="131" t="s">
        <v>333</v>
      </c>
      <c r="G87" s="61"/>
      <c r="H87" s="87"/>
      <c r="I87" s="61">
        <f>G87*531.39</f>
        <v>0</v>
      </c>
      <c r="J87" s="61">
        <v>5742.7</v>
      </c>
      <c r="K87" s="64">
        <f aca="true" t="shared" si="2" ref="K87:K141">I87/12/5742.7</f>
        <v>0</v>
      </c>
    </row>
    <row r="88" spans="1:11" ht="20.25" customHeight="1" hidden="1">
      <c r="A88" s="68"/>
      <c r="B88" s="68"/>
      <c r="C88" s="86"/>
      <c r="D88" s="78" t="s">
        <v>432</v>
      </c>
      <c r="E88" s="78" t="s">
        <v>68</v>
      </c>
      <c r="F88" s="131" t="s">
        <v>333</v>
      </c>
      <c r="G88" s="61"/>
      <c r="H88" s="87"/>
      <c r="I88" s="61">
        <f>G88*94.62</f>
        <v>0</v>
      </c>
      <c r="J88" s="61">
        <v>5742.7</v>
      </c>
      <c r="K88" s="64">
        <f t="shared" si="2"/>
        <v>0</v>
      </c>
    </row>
    <row r="89" spans="1:11" ht="20.25" customHeight="1" hidden="1">
      <c r="A89" s="71">
        <v>712</v>
      </c>
      <c r="B89" s="71" t="s">
        <v>103</v>
      </c>
      <c r="C89" s="72">
        <v>35</v>
      </c>
      <c r="D89" s="74" t="s">
        <v>373</v>
      </c>
      <c r="E89" s="78" t="s">
        <v>68</v>
      </c>
      <c r="F89" s="131" t="s">
        <v>333</v>
      </c>
      <c r="G89" s="61"/>
      <c r="H89" s="61"/>
      <c r="I89" s="61">
        <f>G89*66.57</f>
        <v>0</v>
      </c>
      <c r="J89" s="61">
        <v>5742.7</v>
      </c>
      <c r="K89" s="64">
        <f t="shared" si="2"/>
        <v>0</v>
      </c>
    </row>
    <row r="90" spans="1:11" ht="24" customHeight="1" hidden="1">
      <c r="A90" s="71"/>
      <c r="B90" s="71"/>
      <c r="C90" s="72"/>
      <c r="D90" s="74" t="s">
        <v>374</v>
      </c>
      <c r="E90" s="78" t="s">
        <v>68</v>
      </c>
      <c r="F90" s="131" t="s">
        <v>333</v>
      </c>
      <c r="G90" s="61"/>
      <c r="H90" s="61"/>
      <c r="I90" s="58">
        <f>G90*350.16</f>
        <v>0</v>
      </c>
      <c r="J90" s="61">
        <v>5742.7</v>
      </c>
      <c r="K90" s="64">
        <f t="shared" si="2"/>
        <v>0</v>
      </c>
    </row>
    <row r="91" spans="1:11" ht="19.5" customHeight="1" hidden="1">
      <c r="A91" s="71"/>
      <c r="B91" s="71"/>
      <c r="C91" s="72"/>
      <c r="D91" s="74" t="s">
        <v>375</v>
      </c>
      <c r="E91" s="78" t="s">
        <v>68</v>
      </c>
      <c r="F91" s="131" t="s">
        <v>333</v>
      </c>
      <c r="G91" s="61">
        <f>1</f>
        <v>1</v>
      </c>
      <c r="H91" s="61"/>
      <c r="I91" s="58">
        <f>G91*154</f>
        <v>154</v>
      </c>
      <c r="J91" s="61">
        <v>5742.7</v>
      </c>
      <c r="K91" s="64">
        <f t="shared" si="2"/>
        <v>0.002234721182254573</v>
      </c>
    </row>
    <row r="92" spans="1:11" ht="22.5">
      <c r="A92" s="71"/>
      <c r="B92" s="71"/>
      <c r="C92" s="72">
        <v>36</v>
      </c>
      <c r="D92" s="74" t="s">
        <v>376</v>
      </c>
      <c r="E92" s="78" t="s">
        <v>123</v>
      </c>
      <c r="F92" s="75" t="s">
        <v>111</v>
      </c>
      <c r="G92" s="61">
        <f>17+4</f>
        <v>21</v>
      </c>
      <c r="H92" s="61">
        <v>2</v>
      </c>
      <c r="I92" s="58">
        <f>G92*223.84</f>
        <v>4700.64</v>
      </c>
      <c r="J92" s="61">
        <v>5742.7</v>
      </c>
      <c r="K92" s="64">
        <f t="shared" si="2"/>
        <v>0.06821181674125412</v>
      </c>
    </row>
    <row r="93" spans="1:11" ht="22.5">
      <c r="A93" s="71"/>
      <c r="B93" s="71"/>
      <c r="C93" s="72"/>
      <c r="D93" s="74" t="s">
        <v>377</v>
      </c>
      <c r="E93" s="78" t="s">
        <v>68</v>
      </c>
      <c r="F93" s="75" t="s">
        <v>111</v>
      </c>
      <c r="G93" s="61">
        <f>2+2+6+1+2+4+2+1</f>
        <v>20</v>
      </c>
      <c r="H93" s="61"/>
      <c r="I93" s="58">
        <f>G93*1128.79</f>
        <v>22575.8</v>
      </c>
      <c r="J93" s="61">
        <v>5742.7</v>
      </c>
      <c r="K93" s="64">
        <f t="shared" si="2"/>
        <v>0.32760141861261544</v>
      </c>
    </row>
    <row r="94" spans="1:11" ht="17.25" customHeight="1">
      <c r="A94" s="71">
        <v>730</v>
      </c>
      <c r="B94" s="71" t="s">
        <v>109</v>
      </c>
      <c r="C94" s="72">
        <v>37</v>
      </c>
      <c r="D94" s="74" t="s">
        <v>110</v>
      </c>
      <c r="E94" s="74" t="s">
        <v>21</v>
      </c>
      <c r="F94" s="75" t="s">
        <v>111</v>
      </c>
      <c r="G94" s="61">
        <v>1</v>
      </c>
      <c r="H94" s="61">
        <v>12</v>
      </c>
      <c r="I94" s="58">
        <f>G94*94.57*H94</f>
        <v>1134.84</v>
      </c>
      <c r="J94" s="61">
        <v>5742.7</v>
      </c>
      <c r="K94" s="64">
        <f t="shared" si="2"/>
        <v>0.016467863548505057</v>
      </c>
    </row>
    <row r="95" spans="1:11" ht="35.25" customHeight="1">
      <c r="A95" s="71"/>
      <c r="B95" s="71"/>
      <c r="C95" s="72">
        <v>38</v>
      </c>
      <c r="D95" s="74" t="s">
        <v>378</v>
      </c>
      <c r="E95" s="74" t="s">
        <v>158</v>
      </c>
      <c r="F95" s="75" t="s">
        <v>111</v>
      </c>
      <c r="G95" s="61">
        <v>2</v>
      </c>
      <c r="H95" s="61">
        <v>1</v>
      </c>
      <c r="I95" s="58">
        <f>G95*244</f>
        <v>488</v>
      </c>
      <c r="J95" s="61">
        <v>5742.7</v>
      </c>
      <c r="K95" s="64">
        <f t="shared" si="2"/>
        <v>0.007081454135975528</v>
      </c>
    </row>
    <row r="96" spans="1:11" ht="22.5">
      <c r="A96" s="71"/>
      <c r="B96" s="71"/>
      <c r="C96" s="72">
        <v>40</v>
      </c>
      <c r="D96" s="74" t="s">
        <v>379</v>
      </c>
      <c r="E96" s="74" t="s">
        <v>158</v>
      </c>
      <c r="F96" s="75" t="s">
        <v>348</v>
      </c>
      <c r="G96" s="61">
        <f>6+6</f>
        <v>12</v>
      </c>
      <c r="H96" s="61"/>
      <c r="I96" s="58">
        <f>G96*256.11</f>
        <v>3073.32</v>
      </c>
      <c r="J96" s="61">
        <v>5742.7</v>
      </c>
      <c r="K96" s="64">
        <f t="shared" si="2"/>
        <v>0.044597488986017036</v>
      </c>
    </row>
    <row r="97" spans="1:11" ht="45">
      <c r="A97" s="71"/>
      <c r="B97" s="71"/>
      <c r="C97" s="72">
        <v>41</v>
      </c>
      <c r="D97" s="74" t="s">
        <v>380</v>
      </c>
      <c r="E97" s="78" t="s">
        <v>347</v>
      </c>
      <c r="F97" s="75" t="s">
        <v>111</v>
      </c>
      <c r="G97" s="61">
        <f>1+1</f>
        <v>2</v>
      </c>
      <c r="H97" s="61">
        <v>12</v>
      </c>
      <c r="I97" s="58">
        <f>G97*178.835*H97</f>
        <v>4292.04</v>
      </c>
      <c r="J97" s="61">
        <v>5742.7</v>
      </c>
      <c r="K97" s="64">
        <f t="shared" si="2"/>
        <v>0.06228255002002543</v>
      </c>
    </row>
    <row r="98" spans="1:11" ht="15.75" customHeight="1">
      <c r="A98" s="143" t="s">
        <v>112</v>
      </c>
      <c r="B98" s="143"/>
      <c r="C98" s="145" t="s">
        <v>113</v>
      </c>
      <c r="D98" s="145"/>
      <c r="E98" s="145"/>
      <c r="F98" s="145"/>
      <c r="G98" s="145"/>
      <c r="H98" s="145"/>
      <c r="I98" s="70"/>
      <c r="J98" s="61"/>
      <c r="K98" s="64"/>
    </row>
    <row r="99" spans="1:11" ht="22.5">
      <c r="A99" s="68"/>
      <c r="B99" s="77"/>
      <c r="C99" s="61">
        <v>42</v>
      </c>
      <c r="D99" s="78" t="s">
        <v>381</v>
      </c>
      <c r="E99" s="78" t="s">
        <v>116</v>
      </c>
      <c r="F99" s="61" t="s">
        <v>142</v>
      </c>
      <c r="G99" s="88">
        <v>5.7427</v>
      </c>
      <c r="H99" s="89">
        <v>4</v>
      </c>
      <c r="I99" s="58">
        <f>175.036*G99*H99</f>
        <v>4020.7169488</v>
      </c>
      <c r="J99" s="61">
        <v>5742.7</v>
      </c>
      <c r="K99" s="64">
        <f t="shared" si="2"/>
        <v>0.05834533333333333</v>
      </c>
    </row>
    <row r="100" spans="1:11" ht="29.25" customHeight="1">
      <c r="A100" s="71">
        <v>90</v>
      </c>
      <c r="B100" s="71" t="s">
        <v>114</v>
      </c>
      <c r="C100" s="72">
        <v>43</v>
      </c>
      <c r="D100" s="74" t="s">
        <v>115</v>
      </c>
      <c r="E100" s="74" t="s">
        <v>116</v>
      </c>
      <c r="F100" s="75" t="s">
        <v>117</v>
      </c>
      <c r="G100" s="61">
        <v>0.4</v>
      </c>
      <c r="H100" s="61">
        <v>4</v>
      </c>
      <c r="I100" s="58">
        <f>G100*H100*437.64</f>
        <v>700.224</v>
      </c>
      <c r="J100" s="61">
        <v>5742.7</v>
      </c>
      <c r="K100" s="64">
        <f t="shared" si="2"/>
        <v>0.010161074059240428</v>
      </c>
    </row>
    <row r="101" spans="1:11" ht="29.25" customHeight="1">
      <c r="A101" s="71"/>
      <c r="B101" s="71"/>
      <c r="C101" s="61">
        <v>44</v>
      </c>
      <c r="D101" s="74" t="s">
        <v>382</v>
      </c>
      <c r="E101" s="74" t="s">
        <v>116</v>
      </c>
      <c r="F101" s="75" t="s">
        <v>383</v>
      </c>
      <c r="G101" s="61">
        <v>1.2</v>
      </c>
      <c r="H101" s="61">
        <v>4</v>
      </c>
      <c r="I101" s="58">
        <f>G101*H101*245.06</f>
        <v>1176.288</v>
      </c>
      <c r="J101" s="61">
        <v>5742.7</v>
      </c>
      <c r="K101" s="64">
        <f t="shared" si="2"/>
        <v>0.01706932279241472</v>
      </c>
    </row>
    <row r="102" spans="1:11" ht="18.75" customHeight="1">
      <c r="A102" s="71">
        <v>92</v>
      </c>
      <c r="B102" s="71" t="s">
        <v>118</v>
      </c>
      <c r="C102" s="72">
        <v>45</v>
      </c>
      <c r="D102" s="74" t="s">
        <v>119</v>
      </c>
      <c r="E102" s="74" t="s">
        <v>116</v>
      </c>
      <c r="F102" s="75" t="s">
        <v>120</v>
      </c>
      <c r="G102" s="61">
        <v>0.02</v>
      </c>
      <c r="H102" s="61">
        <v>4</v>
      </c>
      <c r="I102" s="58">
        <f>26*G102*H102</f>
        <v>2.08</v>
      </c>
      <c r="J102" s="61">
        <v>5742.7</v>
      </c>
      <c r="K102" s="64">
        <f t="shared" si="2"/>
        <v>3.0183247136944876E-05</v>
      </c>
    </row>
    <row r="103" spans="1:11" ht="21" customHeight="1">
      <c r="A103" s="71"/>
      <c r="B103" s="71"/>
      <c r="C103" s="61">
        <v>46</v>
      </c>
      <c r="D103" s="74" t="s">
        <v>384</v>
      </c>
      <c r="E103" s="74" t="s">
        <v>123</v>
      </c>
      <c r="F103" s="75" t="s">
        <v>136</v>
      </c>
      <c r="G103" s="61">
        <v>1578.1</v>
      </c>
      <c r="H103" s="61">
        <v>2</v>
      </c>
      <c r="I103" s="58">
        <f>G103*0.43764*H103</f>
        <v>1381.2793679999997</v>
      </c>
      <c r="J103" s="61">
        <v>5742.7</v>
      </c>
      <c r="K103" s="64">
        <f t="shared" si="2"/>
        <v>0.020043988716109143</v>
      </c>
    </row>
    <row r="104" spans="1:11" ht="28.5" customHeight="1">
      <c r="A104" s="71"/>
      <c r="B104" s="71"/>
      <c r="C104" s="72">
        <v>47</v>
      </c>
      <c r="D104" s="74" t="s">
        <v>385</v>
      </c>
      <c r="E104" s="74" t="s">
        <v>386</v>
      </c>
      <c r="F104" s="75" t="s">
        <v>142</v>
      </c>
      <c r="G104" s="64">
        <v>5.7427</v>
      </c>
      <c r="H104" s="58">
        <v>2</v>
      </c>
      <c r="I104" s="58">
        <f>G104*2300</f>
        <v>13208.210000000001</v>
      </c>
      <c r="J104" s="61">
        <v>5742.7</v>
      </c>
      <c r="K104" s="64">
        <f t="shared" si="2"/>
        <v>0.19166666666666668</v>
      </c>
    </row>
    <row r="105" spans="1:11" ht="15.75" customHeight="1">
      <c r="A105" s="143" t="s">
        <v>126</v>
      </c>
      <c r="B105" s="143"/>
      <c r="C105" s="145" t="s">
        <v>127</v>
      </c>
      <c r="D105" s="145"/>
      <c r="E105" s="145"/>
      <c r="F105" s="145"/>
      <c r="G105" s="145"/>
      <c r="H105" s="145"/>
      <c r="I105" s="70"/>
      <c r="J105" s="61"/>
      <c r="K105" s="64"/>
    </row>
    <row r="106" spans="1:11" ht="23.25" customHeight="1">
      <c r="A106" s="71"/>
      <c r="B106" s="71"/>
      <c r="C106" s="72">
        <v>48</v>
      </c>
      <c r="D106" s="74" t="s">
        <v>446</v>
      </c>
      <c r="E106" s="74" t="s">
        <v>130</v>
      </c>
      <c r="F106" s="75" t="s">
        <v>136</v>
      </c>
      <c r="G106" s="61">
        <v>1932</v>
      </c>
      <c r="H106" s="61">
        <v>144</v>
      </c>
      <c r="I106" s="58">
        <f>0.017*G106*H106</f>
        <v>4729.536</v>
      </c>
      <c r="J106" s="61">
        <v>5742.7</v>
      </c>
      <c r="K106" s="64">
        <f t="shared" si="2"/>
        <v>0.06863113169763352</v>
      </c>
    </row>
    <row r="107" spans="1:11" ht="19.5" customHeight="1">
      <c r="A107" s="71"/>
      <c r="B107" s="71"/>
      <c r="C107" s="72"/>
      <c r="D107" s="74" t="s">
        <v>420</v>
      </c>
      <c r="E107" s="74" t="s">
        <v>317</v>
      </c>
      <c r="F107" s="75" t="s">
        <v>136</v>
      </c>
      <c r="G107" s="61">
        <v>1932</v>
      </c>
      <c r="H107" s="61">
        <v>12</v>
      </c>
      <c r="I107" s="58">
        <f>G107*H107*1.21</f>
        <v>28052.64</v>
      </c>
      <c r="J107" s="61">
        <v>5742.7</v>
      </c>
      <c r="K107" s="64">
        <f t="shared" si="2"/>
        <v>0.4070768105594929</v>
      </c>
    </row>
    <row r="108" spans="1:11" ht="16.5" customHeight="1" hidden="1">
      <c r="A108" s="71"/>
      <c r="B108" s="71"/>
      <c r="C108" s="72">
        <v>49</v>
      </c>
      <c r="D108" s="74" t="s">
        <v>387</v>
      </c>
      <c r="E108" s="74" t="s">
        <v>130</v>
      </c>
      <c r="F108" s="75" t="s">
        <v>136</v>
      </c>
      <c r="G108" s="61"/>
      <c r="H108" s="61">
        <v>36</v>
      </c>
      <c r="I108" s="58">
        <f>G108*H108*4.44</f>
        <v>0</v>
      </c>
      <c r="J108" s="61">
        <v>5742.7</v>
      </c>
      <c r="K108" s="64">
        <f t="shared" si="2"/>
        <v>0</v>
      </c>
    </row>
    <row r="109" spans="1:11" ht="16.5" customHeight="1" hidden="1">
      <c r="A109" s="71"/>
      <c r="B109" s="71"/>
      <c r="C109" s="72"/>
      <c r="D109" s="74" t="s">
        <v>421</v>
      </c>
      <c r="E109" s="74" t="s">
        <v>422</v>
      </c>
      <c r="F109" s="75" t="s">
        <v>348</v>
      </c>
      <c r="G109" s="61"/>
      <c r="H109" s="61">
        <v>6</v>
      </c>
      <c r="I109" s="58">
        <f>G109*H109*2.26</f>
        <v>0</v>
      </c>
      <c r="J109" s="61">
        <v>5742.7</v>
      </c>
      <c r="K109" s="64">
        <f t="shared" si="2"/>
        <v>0</v>
      </c>
    </row>
    <row r="110" spans="1:11" ht="16.5" customHeight="1" hidden="1">
      <c r="A110" s="71"/>
      <c r="B110" s="71"/>
      <c r="C110" s="72"/>
      <c r="D110" s="74" t="s">
        <v>423</v>
      </c>
      <c r="E110" s="74" t="s">
        <v>317</v>
      </c>
      <c r="F110" s="75" t="s">
        <v>333</v>
      </c>
      <c r="G110" s="61"/>
      <c r="H110" s="61">
        <v>3</v>
      </c>
      <c r="I110" s="58">
        <f>G110*H110*11.125</f>
        <v>0</v>
      </c>
      <c r="J110" s="61">
        <v>5742.7</v>
      </c>
      <c r="K110" s="64">
        <f t="shared" si="2"/>
        <v>0</v>
      </c>
    </row>
    <row r="111" spans="1:11" ht="16.5" customHeight="1" hidden="1">
      <c r="A111" s="71"/>
      <c r="B111" s="71"/>
      <c r="C111" s="72"/>
      <c r="D111" s="74" t="s">
        <v>424</v>
      </c>
      <c r="E111" s="74" t="s">
        <v>317</v>
      </c>
      <c r="F111" s="75" t="s">
        <v>136</v>
      </c>
      <c r="G111" s="61"/>
      <c r="H111" s="61">
        <v>3</v>
      </c>
      <c r="I111" s="58">
        <f>G111*H111*165</f>
        <v>0</v>
      </c>
      <c r="J111" s="61">
        <v>5742.7</v>
      </c>
      <c r="K111" s="64">
        <f t="shared" si="2"/>
        <v>0</v>
      </c>
    </row>
    <row r="112" spans="1:11" ht="16.5" customHeight="1" hidden="1">
      <c r="A112" s="71"/>
      <c r="B112" s="71"/>
      <c r="C112" s="72"/>
      <c r="D112" s="74" t="s">
        <v>388</v>
      </c>
      <c r="E112" s="74" t="s">
        <v>130</v>
      </c>
      <c r="F112" s="75" t="s">
        <v>348</v>
      </c>
      <c r="G112" s="61"/>
      <c r="H112" s="61">
        <v>3</v>
      </c>
      <c r="I112" s="128">
        <f>G112*H112*95.7</f>
        <v>0</v>
      </c>
      <c r="J112" s="61">
        <v>5742.7</v>
      </c>
      <c r="K112" s="64">
        <f t="shared" si="2"/>
        <v>0</v>
      </c>
    </row>
    <row r="113" spans="1:11" ht="16.5" customHeight="1" hidden="1">
      <c r="A113" s="71"/>
      <c r="B113" s="71"/>
      <c r="C113" s="72"/>
      <c r="D113" s="74" t="s">
        <v>389</v>
      </c>
      <c r="E113" s="74" t="s">
        <v>130</v>
      </c>
      <c r="F113" s="75" t="s">
        <v>111</v>
      </c>
      <c r="G113" s="61"/>
      <c r="H113" s="61">
        <v>3</v>
      </c>
      <c r="I113" s="128">
        <f>G113*H113*95.7</f>
        <v>0</v>
      </c>
      <c r="J113" s="61">
        <v>5742.7</v>
      </c>
      <c r="K113" s="64">
        <f t="shared" si="2"/>
        <v>0</v>
      </c>
    </row>
    <row r="114" spans="1:11" ht="15.75" customHeight="1">
      <c r="A114" s="143" t="s">
        <v>137</v>
      </c>
      <c r="B114" s="143"/>
      <c r="C114" s="145" t="s">
        <v>138</v>
      </c>
      <c r="D114" s="145"/>
      <c r="E114" s="145"/>
      <c r="F114" s="145"/>
      <c r="G114" s="145"/>
      <c r="H114" s="145"/>
      <c r="I114" s="70"/>
      <c r="J114" s="61"/>
      <c r="K114" s="64"/>
    </row>
    <row r="115" spans="1:11" ht="29.25" customHeight="1">
      <c r="A115" s="71">
        <v>112</v>
      </c>
      <c r="B115" s="71" t="s">
        <v>139</v>
      </c>
      <c r="C115" s="72">
        <v>50</v>
      </c>
      <c r="D115" s="78" t="s">
        <v>140</v>
      </c>
      <c r="E115" s="78" t="s">
        <v>141</v>
      </c>
      <c r="F115" s="75" t="s">
        <v>142</v>
      </c>
      <c r="G115" s="61">
        <v>4.51</v>
      </c>
      <c r="H115" s="61">
        <v>72</v>
      </c>
      <c r="I115" s="58">
        <f>0.0062*G115*H115*1000</f>
        <v>2013.264</v>
      </c>
      <c r="J115" s="61">
        <v>5742.7</v>
      </c>
      <c r="K115" s="64">
        <f t="shared" si="2"/>
        <v>0.029214829261497204</v>
      </c>
    </row>
    <row r="116" spans="1:11" ht="16.5" customHeight="1">
      <c r="A116" s="71">
        <v>114</v>
      </c>
      <c r="B116" s="71" t="s">
        <v>143</v>
      </c>
      <c r="C116" s="72">
        <v>51</v>
      </c>
      <c r="D116" s="74" t="s">
        <v>144</v>
      </c>
      <c r="E116" s="74" t="s">
        <v>141</v>
      </c>
      <c r="F116" s="75" t="s">
        <v>142</v>
      </c>
      <c r="G116" s="61">
        <v>3.45</v>
      </c>
      <c r="H116" s="61">
        <v>72</v>
      </c>
      <c r="I116" s="58">
        <f>0.009*G116*H116*1000</f>
        <v>2235.6</v>
      </c>
      <c r="J116" s="61">
        <v>5742.7</v>
      </c>
      <c r="K116" s="64">
        <f t="shared" si="2"/>
        <v>0.03244118620161248</v>
      </c>
    </row>
    <row r="117" spans="1:11" ht="14.25" customHeight="1">
      <c r="A117" s="71">
        <v>121</v>
      </c>
      <c r="B117" s="71" t="s">
        <v>145</v>
      </c>
      <c r="C117" s="72">
        <v>52</v>
      </c>
      <c r="D117" s="90" t="s">
        <v>430</v>
      </c>
      <c r="E117" s="74" t="s">
        <v>130</v>
      </c>
      <c r="F117" s="75" t="s">
        <v>142</v>
      </c>
      <c r="G117" s="91">
        <v>20.196</v>
      </c>
      <c r="H117" s="58">
        <v>72</v>
      </c>
      <c r="I117" s="58">
        <f>0.0008*G117*H117*1000</f>
        <v>1163.2896</v>
      </c>
      <c r="J117" s="61">
        <v>5742.7</v>
      </c>
      <c r="K117" s="64">
        <f t="shared" si="2"/>
        <v>0.016880700715691227</v>
      </c>
    </row>
    <row r="118" spans="1:11" ht="20.25" customHeight="1">
      <c r="A118" s="71">
        <v>122</v>
      </c>
      <c r="B118" s="71" t="s">
        <v>147</v>
      </c>
      <c r="C118" s="72">
        <v>53</v>
      </c>
      <c r="D118" s="74" t="s">
        <v>431</v>
      </c>
      <c r="E118" s="74" t="s">
        <v>390</v>
      </c>
      <c r="F118" s="75" t="s">
        <v>142</v>
      </c>
      <c r="G118" s="61">
        <v>0.842</v>
      </c>
      <c r="H118" s="61">
        <v>3</v>
      </c>
      <c r="I118" s="58">
        <f>1.06*G118*H118*1000</f>
        <v>2677.5599999999995</v>
      </c>
      <c r="J118" s="61">
        <v>5742.7</v>
      </c>
      <c r="K118" s="64">
        <f t="shared" si="2"/>
        <v>0.03885454577115294</v>
      </c>
    </row>
    <row r="119" spans="1:11" ht="15.75">
      <c r="A119" s="71"/>
      <c r="B119" s="71"/>
      <c r="C119" s="72">
        <v>54</v>
      </c>
      <c r="D119" s="74" t="s">
        <v>279</v>
      </c>
      <c r="E119" s="74" t="s">
        <v>391</v>
      </c>
      <c r="F119" s="75" t="s">
        <v>136</v>
      </c>
      <c r="G119" s="61">
        <v>649</v>
      </c>
      <c r="H119" s="61">
        <v>24</v>
      </c>
      <c r="I119" s="58">
        <f>G119*H119*0.132</f>
        <v>2056.032</v>
      </c>
      <c r="J119" s="61">
        <v>5742.7</v>
      </c>
      <c r="K119" s="64">
        <f t="shared" si="2"/>
        <v>0.029835443258397622</v>
      </c>
    </row>
    <row r="120" spans="1:11" ht="15.75">
      <c r="A120" s="71"/>
      <c r="B120" s="71"/>
      <c r="C120" s="72">
        <v>55</v>
      </c>
      <c r="D120" s="74" t="s">
        <v>283</v>
      </c>
      <c r="E120" s="74" t="s">
        <v>123</v>
      </c>
      <c r="F120" s="75" t="s">
        <v>142</v>
      </c>
      <c r="G120" s="61">
        <v>3.45</v>
      </c>
      <c r="H120" s="61">
        <v>2</v>
      </c>
      <c r="I120" s="58">
        <f>900*G120*H120</f>
        <v>6210</v>
      </c>
      <c r="J120" s="61">
        <v>5742.7</v>
      </c>
      <c r="K120" s="64">
        <f t="shared" si="2"/>
        <v>0.09011440611559023</v>
      </c>
    </row>
    <row r="121" spans="1:11" ht="15.75">
      <c r="A121" s="71"/>
      <c r="B121" s="71"/>
      <c r="C121" s="72">
        <v>56</v>
      </c>
      <c r="D121" s="74" t="s">
        <v>285</v>
      </c>
      <c r="E121" s="86" t="s">
        <v>123</v>
      </c>
      <c r="F121" s="92" t="s">
        <v>142</v>
      </c>
      <c r="G121" s="61">
        <v>3.45</v>
      </c>
      <c r="H121" s="61">
        <v>2</v>
      </c>
      <c r="I121" s="58">
        <f>I120*0.2</f>
        <v>1242</v>
      </c>
      <c r="J121" s="61">
        <v>5742.7</v>
      </c>
      <c r="K121" s="64">
        <f t="shared" si="2"/>
        <v>0.018022881223118046</v>
      </c>
    </row>
    <row r="122" spans="1:11" ht="15.75">
      <c r="A122" s="71"/>
      <c r="B122" s="71"/>
      <c r="C122" s="72">
        <v>57</v>
      </c>
      <c r="D122" s="74" t="s">
        <v>392</v>
      </c>
      <c r="E122" s="86" t="s">
        <v>68</v>
      </c>
      <c r="F122" s="92" t="s">
        <v>288</v>
      </c>
      <c r="G122" s="61">
        <v>8</v>
      </c>
      <c r="H122" s="61">
        <v>2</v>
      </c>
      <c r="I122" s="58">
        <f>G122*H122*102</f>
        <v>1632</v>
      </c>
      <c r="J122" s="61">
        <v>5742.7</v>
      </c>
      <c r="K122" s="64">
        <f t="shared" si="2"/>
        <v>0.02368224006129521</v>
      </c>
    </row>
    <row r="123" spans="1:11" ht="22.5">
      <c r="A123" s="93"/>
      <c r="B123" s="94"/>
      <c r="C123" s="72">
        <v>58</v>
      </c>
      <c r="D123" s="95" t="s">
        <v>393</v>
      </c>
      <c r="E123" s="95" t="s">
        <v>141</v>
      </c>
      <c r="F123" s="96" t="s">
        <v>142</v>
      </c>
      <c r="G123" s="61">
        <v>1.1</v>
      </c>
      <c r="H123" s="61">
        <v>5</v>
      </c>
      <c r="I123" s="58">
        <f>G123*H123*7000</f>
        <v>38500</v>
      </c>
      <c r="J123" s="61">
        <v>5742.7</v>
      </c>
      <c r="K123" s="64">
        <f t="shared" si="2"/>
        <v>0.5586802955636432</v>
      </c>
    </row>
    <row r="124" spans="1:11" ht="16.5" customHeight="1">
      <c r="A124" s="143"/>
      <c r="B124" s="143"/>
      <c r="C124" s="145" t="s">
        <v>151</v>
      </c>
      <c r="D124" s="145"/>
      <c r="E124" s="145"/>
      <c r="F124" s="145"/>
      <c r="G124" s="145"/>
      <c r="H124" s="145"/>
      <c r="I124" s="70"/>
      <c r="J124" s="61"/>
      <c r="K124" s="64"/>
    </row>
    <row r="125" spans="1:11" ht="23.25" customHeight="1">
      <c r="A125" s="71">
        <v>125</v>
      </c>
      <c r="B125" s="71" t="s">
        <v>152</v>
      </c>
      <c r="C125" s="72">
        <v>59</v>
      </c>
      <c r="D125" s="78" t="s">
        <v>394</v>
      </c>
      <c r="E125" s="78" t="s">
        <v>395</v>
      </c>
      <c r="F125" s="75" t="s">
        <v>142</v>
      </c>
      <c r="G125" s="61">
        <v>4.51</v>
      </c>
      <c r="H125" s="61">
        <v>6</v>
      </c>
      <c r="I125" s="58">
        <f>0.08*G125*H125*1000</f>
        <v>2164.8</v>
      </c>
      <c r="J125" s="61">
        <v>5742.7</v>
      </c>
      <c r="K125" s="64">
        <f t="shared" si="2"/>
        <v>0.03141379490483571</v>
      </c>
    </row>
    <row r="126" spans="1:11" ht="16.5" customHeight="1">
      <c r="A126" s="71">
        <v>132</v>
      </c>
      <c r="B126" s="71" t="s">
        <v>154</v>
      </c>
      <c r="C126" s="72">
        <v>60</v>
      </c>
      <c r="D126" s="78" t="s">
        <v>396</v>
      </c>
      <c r="E126" s="78" t="s">
        <v>395</v>
      </c>
      <c r="F126" s="75" t="s">
        <v>142</v>
      </c>
      <c r="G126" s="64">
        <v>6.097</v>
      </c>
      <c r="H126" s="58">
        <v>6</v>
      </c>
      <c r="I126" s="58">
        <f>G126*H126*1000*0.06</f>
        <v>2194.92</v>
      </c>
      <c r="J126" s="61">
        <v>5742.7</v>
      </c>
      <c r="K126" s="64">
        <f t="shared" si="2"/>
        <v>0.03185087154126108</v>
      </c>
    </row>
    <row r="127" spans="1:11" ht="21" customHeight="1">
      <c r="A127" s="93"/>
      <c r="B127" s="94" t="s">
        <v>156</v>
      </c>
      <c r="C127" s="72">
        <v>61</v>
      </c>
      <c r="D127" s="95" t="s">
        <v>290</v>
      </c>
      <c r="E127" s="95" t="s">
        <v>397</v>
      </c>
      <c r="F127" s="96" t="s">
        <v>142</v>
      </c>
      <c r="G127" s="64">
        <v>1.407</v>
      </c>
      <c r="H127" s="58">
        <v>7</v>
      </c>
      <c r="I127" s="58">
        <f>G127*H127*2.68*1000</f>
        <v>26395.320000000003</v>
      </c>
      <c r="J127" s="61">
        <v>5742.7</v>
      </c>
      <c r="K127" s="64">
        <f t="shared" si="2"/>
        <v>0.38302714750901146</v>
      </c>
    </row>
    <row r="128" spans="1:11" ht="22.5" customHeight="1">
      <c r="A128" s="93"/>
      <c r="B128" s="94"/>
      <c r="C128" s="72">
        <v>62</v>
      </c>
      <c r="D128" s="95" t="s">
        <v>398</v>
      </c>
      <c r="E128" s="95" t="s">
        <v>68</v>
      </c>
      <c r="F128" s="96" t="s">
        <v>142</v>
      </c>
      <c r="G128" s="96">
        <v>0.7</v>
      </c>
      <c r="H128" s="96">
        <v>6</v>
      </c>
      <c r="I128" s="97">
        <f>G128*H128*1000</f>
        <v>4199.999999999999</v>
      </c>
      <c r="J128" s="61">
        <v>5742.7</v>
      </c>
      <c r="K128" s="64">
        <f t="shared" si="2"/>
        <v>0.060946941334215604</v>
      </c>
    </row>
    <row r="129" spans="1:11" ht="22.5" customHeight="1">
      <c r="A129" s="93"/>
      <c r="B129" s="94"/>
      <c r="C129" s="72">
        <v>63</v>
      </c>
      <c r="D129" s="95" t="s">
        <v>399</v>
      </c>
      <c r="E129" s="95" t="s">
        <v>395</v>
      </c>
      <c r="F129" s="96" t="s">
        <v>142</v>
      </c>
      <c r="G129" s="61">
        <v>0.902</v>
      </c>
      <c r="H129" s="61">
        <v>96</v>
      </c>
      <c r="I129" s="58">
        <f>G129*H129*900</f>
        <v>77932.8</v>
      </c>
      <c r="J129" s="61">
        <v>5742.7</v>
      </c>
      <c r="K129" s="64">
        <f t="shared" si="2"/>
        <v>1.1308966165740855</v>
      </c>
    </row>
    <row r="130" spans="1:11" ht="15.75" customHeight="1">
      <c r="A130" s="77"/>
      <c r="B130" s="98"/>
      <c r="C130" s="148" t="s">
        <v>297</v>
      </c>
      <c r="D130" s="148"/>
      <c r="E130" s="148"/>
      <c r="F130" s="148"/>
      <c r="G130" s="148"/>
      <c r="H130" s="148"/>
      <c r="I130" s="99"/>
      <c r="J130" s="61"/>
      <c r="K130" s="64"/>
    </row>
    <row r="131" spans="1:11" ht="15.75">
      <c r="A131" s="77"/>
      <c r="B131" s="98"/>
      <c r="C131" s="72">
        <v>64</v>
      </c>
      <c r="D131" s="100" t="s">
        <v>281</v>
      </c>
      <c r="E131" s="66" t="s">
        <v>123</v>
      </c>
      <c r="F131" s="61" t="s">
        <v>52</v>
      </c>
      <c r="G131" s="101">
        <v>2.5</v>
      </c>
      <c r="H131" s="101"/>
      <c r="I131" s="58">
        <f>3033/8.3232*G131</f>
        <v>911.0077854671281</v>
      </c>
      <c r="J131" s="61">
        <v>5742.7</v>
      </c>
      <c r="K131" s="64">
        <f t="shared" si="2"/>
        <v>0.013219794775209223</v>
      </c>
    </row>
    <row r="132" spans="1:11" ht="22.5">
      <c r="A132" s="77"/>
      <c r="B132" s="98"/>
      <c r="C132" s="72">
        <v>65</v>
      </c>
      <c r="D132" s="66" t="s">
        <v>400</v>
      </c>
      <c r="E132" s="66" t="s">
        <v>401</v>
      </c>
      <c r="F132" s="61" t="s">
        <v>288</v>
      </c>
      <c r="G132" s="58">
        <v>70</v>
      </c>
      <c r="H132" s="58">
        <v>3</v>
      </c>
      <c r="I132" s="58">
        <f>G132*H132*102</f>
        <v>21420</v>
      </c>
      <c r="J132" s="61">
        <v>5742.7</v>
      </c>
      <c r="K132" s="64">
        <f t="shared" si="2"/>
        <v>0.3108294008044996</v>
      </c>
    </row>
    <row r="133" spans="1:11" ht="22.5" hidden="1">
      <c r="A133" s="77"/>
      <c r="B133" s="98"/>
      <c r="C133" s="72"/>
      <c r="D133" s="66" t="s">
        <v>402</v>
      </c>
      <c r="E133" s="74" t="s">
        <v>158</v>
      </c>
      <c r="F133" s="61"/>
      <c r="G133" s="58"/>
      <c r="H133" s="58"/>
      <c r="I133" s="58"/>
      <c r="J133" s="61">
        <v>5742.7</v>
      </c>
      <c r="K133" s="64">
        <f t="shared" si="2"/>
        <v>0</v>
      </c>
    </row>
    <row r="134" spans="1:11" ht="26.25" customHeight="1" hidden="1">
      <c r="A134" s="77"/>
      <c r="B134" s="98"/>
      <c r="C134" s="72">
        <v>66</v>
      </c>
      <c r="D134" s="66" t="s">
        <v>403</v>
      </c>
      <c r="E134" s="66" t="s">
        <v>401</v>
      </c>
      <c r="F134" s="61" t="s">
        <v>175</v>
      </c>
      <c r="G134" s="58"/>
      <c r="H134" s="58"/>
      <c r="I134" s="58">
        <f>G134*55*10</f>
        <v>0</v>
      </c>
      <c r="J134" s="61">
        <v>5742.7</v>
      </c>
      <c r="K134" s="64">
        <f t="shared" si="2"/>
        <v>0</v>
      </c>
    </row>
    <row r="135" spans="1:11" ht="26.25" customHeight="1" hidden="1">
      <c r="A135" s="77"/>
      <c r="B135" s="98"/>
      <c r="C135" s="72"/>
      <c r="D135" s="66" t="s">
        <v>427</v>
      </c>
      <c r="E135" s="66" t="s">
        <v>401</v>
      </c>
      <c r="F135" s="61" t="s">
        <v>333</v>
      </c>
      <c r="G135" s="58"/>
      <c r="H135" s="58">
        <v>1</v>
      </c>
      <c r="I135" s="58">
        <f>G135*H135*820.757</f>
        <v>0</v>
      </c>
      <c r="J135" s="61">
        <v>5742.7</v>
      </c>
      <c r="K135" s="64">
        <f t="shared" si="2"/>
        <v>0</v>
      </c>
    </row>
    <row r="136" spans="1:11" ht="18.75" customHeight="1" hidden="1">
      <c r="A136" s="77"/>
      <c r="B136" s="98"/>
      <c r="C136" s="72">
        <v>67</v>
      </c>
      <c r="D136" s="66" t="s">
        <v>428</v>
      </c>
      <c r="E136" s="66" t="s">
        <v>401</v>
      </c>
      <c r="F136" s="61" t="s">
        <v>136</v>
      </c>
      <c r="G136" s="101"/>
      <c r="H136" s="58">
        <v>1</v>
      </c>
      <c r="I136" s="58">
        <f>G136*H136*373.331</f>
        <v>0</v>
      </c>
      <c r="J136" s="61">
        <v>5742.7</v>
      </c>
      <c r="K136" s="64">
        <f t="shared" si="2"/>
        <v>0</v>
      </c>
    </row>
    <row r="137" spans="1:11" ht="26.25" customHeight="1" hidden="1">
      <c r="A137" s="77"/>
      <c r="B137" s="98"/>
      <c r="C137" s="72"/>
      <c r="D137" s="66" t="s">
        <v>440</v>
      </c>
      <c r="E137" s="66" t="s">
        <v>401</v>
      </c>
      <c r="F137" s="61" t="s">
        <v>111</v>
      </c>
      <c r="G137" s="101"/>
      <c r="H137" s="58"/>
      <c r="I137" s="58">
        <f>G137*979</f>
        <v>0</v>
      </c>
      <c r="J137" s="61">
        <v>5742.7</v>
      </c>
      <c r="K137" s="64">
        <f t="shared" si="2"/>
        <v>0</v>
      </c>
    </row>
    <row r="138" spans="1:11" ht="21" customHeight="1">
      <c r="A138" s="77"/>
      <c r="B138" s="98"/>
      <c r="C138" s="72"/>
      <c r="D138" s="66" t="s">
        <v>437</v>
      </c>
      <c r="E138" s="66" t="s">
        <v>401</v>
      </c>
      <c r="F138" s="61" t="s">
        <v>348</v>
      </c>
      <c r="G138" s="101"/>
      <c r="H138" s="58"/>
      <c r="I138" s="58">
        <f>G138*365.11</f>
        <v>0</v>
      </c>
      <c r="J138" s="61">
        <v>5742.7</v>
      </c>
      <c r="K138" s="64">
        <f t="shared" si="2"/>
        <v>0</v>
      </c>
    </row>
    <row r="139" spans="1:11" ht="21.75" customHeight="1">
      <c r="A139" s="77"/>
      <c r="B139" s="98" t="s">
        <v>438</v>
      </c>
      <c r="C139" s="72"/>
      <c r="D139" s="66" t="s">
        <v>439</v>
      </c>
      <c r="E139" s="66" t="s">
        <v>401</v>
      </c>
      <c r="F139" s="61" t="s">
        <v>348</v>
      </c>
      <c r="G139" s="101">
        <v>60</v>
      </c>
      <c r="H139" s="58"/>
      <c r="I139" s="58">
        <f>G139*95.78</f>
        <v>5746.8</v>
      </c>
      <c r="J139" s="61">
        <v>5742.7</v>
      </c>
      <c r="K139" s="64">
        <f t="shared" si="2"/>
        <v>0.08339282915701675</v>
      </c>
    </row>
    <row r="140" spans="1:11" ht="20.25" customHeight="1">
      <c r="A140" s="77"/>
      <c r="B140" s="98"/>
      <c r="C140" s="72"/>
      <c r="D140" s="66" t="s">
        <v>447</v>
      </c>
      <c r="E140" s="66" t="s">
        <v>401</v>
      </c>
      <c r="F140" s="61" t="s">
        <v>136</v>
      </c>
      <c r="G140" s="101">
        <f>24+33</f>
        <v>57</v>
      </c>
      <c r="H140" s="58">
        <v>2</v>
      </c>
      <c r="I140" s="58">
        <f>G140*108.3*H140</f>
        <v>12346.199999999999</v>
      </c>
      <c r="J140" s="61">
        <v>5742.7</v>
      </c>
      <c r="K140" s="64">
        <f t="shared" si="2"/>
        <v>0.17915788740487923</v>
      </c>
    </row>
    <row r="141" spans="1:11" ht="30.75" customHeight="1">
      <c r="A141" s="77"/>
      <c r="B141" s="98"/>
      <c r="C141" s="72"/>
      <c r="D141" s="66" t="s">
        <v>448</v>
      </c>
      <c r="E141" s="66" t="s">
        <v>401</v>
      </c>
      <c r="F141" s="61" t="s">
        <v>136</v>
      </c>
      <c r="G141" s="101">
        <v>18</v>
      </c>
      <c r="H141" s="58">
        <v>2</v>
      </c>
      <c r="I141" s="58">
        <f>G141*139*H141</f>
        <v>5004</v>
      </c>
      <c r="J141" s="61">
        <v>5742.7</v>
      </c>
      <c r="K141" s="64">
        <f t="shared" si="2"/>
        <v>0.07261392724676546</v>
      </c>
    </row>
    <row r="142" spans="1:11" s="105" customFormat="1" ht="13.5" customHeight="1">
      <c r="A142" s="102"/>
      <c r="B142" s="149" t="s">
        <v>404</v>
      </c>
      <c r="C142" s="149"/>
      <c r="D142" s="149"/>
      <c r="E142" s="66"/>
      <c r="F142" s="61"/>
      <c r="G142" s="103"/>
      <c r="H142" s="103"/>
      <c r="I142" s="58">
        <f>SUM(I6:I136)</f>
        <v>1050670.8907022674</v>
      </c>
      <c r="J142" s="58"/>
      <c r="K142" s="104">
        <f>SUM(K6:K140)</f>
        <v>15.50902146351407</v>
      </c>
    </row>
    <row r="143" spans="1:11" s="105" customFormat="1" ht="12.75">
      <c r="A143" s="102"/>
      <c r="B143" s="106"/>
      <c r="C143" s="107"/>
      <c r="D143" s="108" t="s">
        <v>405</v>
      </c>
      <c r="E143" s="66"/>
      <c r="F143" s="61"/>
      <c r="G143" s="103"/>
      <c r="H143" s="103"/>
      <c r="I143" s="103"/>
      <c r="J143" s="103"/>
      <c r="K143" s="104"/>
    </row>
    <row r="144" spans="1:11" s="105" customFormat="1" ht="12.75">
      <c r="A144" s="102"/>
      <c r="B144" s="106"/>
      <c r="C144" s="107"/>
      <c r="D144" s="108" t="s">
        <v>164</v>
      </c>
      <c r="E144" s="104"/>
      <c r="F144" s="61"/>
      <c r="G144" s="103"/>
      <c r="H144" s="103"/>
      <c r="I144" s="103"/>
      <c r="J144" s="103"/>
      <c r="K144" s="104">
        <f>K142-K145-K146-K147</f>
        <v>14.25902146351407</v>
      </c>
    </row>
    <row r="145" spans="1:11" s="105" customFormat="1" ht="12.75">
      <c r="A145" s="102"/>
      <c r="B145" s="106"/>
      <c r="C145" s="107"/>
      <c r="D145" s="109" t="s">
        <v>406</v>
      </c>
      <c r="E145" s="104"/>
      <c r="F145" s="61"/>
      <c r="G145" s="103"/>
      <c r="H145" s="103"/>
      <c r="I145" s="103"/>
      <c r="J145" s="103"/>
      <c r="K145" s="104">
        <v>1.25</v>
      </c>
    </row>
    <row r="146" spans="1:11" ht="15.75" hidden="1">
      <c r="A146" s="77"/>
      <c r="B146" s="98"/>
      <c r="C146" s="61"/>
      <c r="D146" s="66" t="s">
        <v>407</v>
      </c>
      <c r="E146" s="66"/>
      <c r="F146" s="61"/>
      <c r="G146" s="110"/>
      <c r="H146" s="110"/>
      <c r="I146" s="58"/>
      <c r="J146" s="58"/>
      <c r="K146" s="86"/>
    </row>
    <row r="147" spans="1:11" ht="15.75" hidden="1">
      <c r="A147" s="77"/>
      <c r="B147" s="98"/>
      <c r="C147" s="61"/>
      <c r="D147" s="66" t="s">
        <v>310</v>
      </c>
      <c r="E147" s="66"/>
      <c r="F147" s="61"/>
      <c r="G147" s="110"/>
      <c r="H147" s="110"/>
      <c r="I147" s="58"/>
      <c r="J147" s="58"/>
      <c r="K147" s="86"/>
    </row>
    <row r="148" spans="1:11" ht="15.75">
      <c r="A148" s="111"/>
      <c r="B148" s="112"/>
      <c r="C148" s="113"/>
      <c r="D148" s="114"/>
      <c r="E148" s="114"/>
      <c r="F148" s="113"/>
      <c r="G148" s="115"/>
      <c r="H148" s="115"/>
      <c r="I148" s="116"/>
      <c r="J148" s="116"/>
      <c r="K148" s="51"/>
    </row>
    <row r="149" spans="1:11" ht="15.75">
      <c r="A149" s="44"/>
      <c r="B149" s="3"/>
      <c r="C149" s="45"/>
      <c r="D149" s="117"/>
      <c r="E149" s="117"/>
      <c r="F149" s="45"/>
      <c r="G149" s="47"/>
      <c r="H149" s="47"/>
      <c r="I149" s="48"/>
      <c r="J149" s="48"/>
      <c r="K149" s="46"/>
    </row>
    <row r="150" spans="3:11" ht="15.75">
      <c r="C150" s="45"/>
      <c r="D150" s="117"/>
      <c r="E150" s="117"/>
      <c r="F150" s="45"/>
      <c r="G150" s="47"/>
      <c r="H150" s="47"/>
      <c r="I150" s="48"/>
      <c r="J150" s="48"/>
      <c r="K150" s="46"/>
    </row>
    <row r="151" spans="3:11" ht="15.75">
      <c r="C151" s="45"/>
      <c r="D151" s="117" t="s">
        <v>408</v>
      </c>
      <c r="E151" s="117"/>
      <c r="F151" s="45"/>
      <c r="G151" s="47"/>
      <c r="H151" s="47" t="s">
        <v>409</v>
      </c>
      <c r="I151" s="48"/>
      <c r="J151" s="48"/>
      <c r="K151" s="46"/>
    </row>
    <row r="152" spans="3:10" ht="15.75">
      <c r="C152" s="2"/>
      <c r="D152" s="118"/>
      <c r="E152" s="118"/>
      <c r="F152" s="2"/>
      <c r="G152" s="119"/>
      <c r="H152" s="119"/>
      <c r="I152" s="120"/>
      <c r="J152" s="120"/>
    </row>
    <row r="153" spans="3:10" ht="15.75">
      <c r="C153" s="2"/>
      <c r="D153" s="118"/>
      <c r="E153" s="118"/>
      <c r="F153" s="121"/>
      <c r="G153" s="119"/>
      <c r="H153" s="119"/>
      <c r="I153" s="120"/>
      <c r="J153" s="120"/>
    </row>
    <row r="154" spans="3:10" ht="15.75">
      <c r="C154" s="2"/>
      <c r="D154" s="118"/>
      <c r="E154" s="118"/>
      <c r="F154" s="2"/>
      <c r="G154" s="119"/>
      <c r="H154" s="119"/>
      <c r="I154" s="120"/>
      <c r="J154" s="120"/>
    </row>
    <row r="155" spans="3:10" ht="15.75">
      <c r="C155" s="2"/>
      <c r="D155" s="118"/>
      <c r="E155" s="118"/>
      <c r="F155" s="2"/>
      <c r="G155" s="119"/>
      <c r="H155" s="119"/>
      <c r="I155" s="120"/>
      <c r="J155" s="120"/>
    </row>
    <row r="156" spans="3:10" ht="15.75">
      <c r="C156" s="2"/>
      <c r="D156" s="118"/>
      <c r="E156" s="118"/>
      <c r="F156" s="2"/>
      <c r="G156" s="119"/>
      <c r="H156" s="119"/>
      <c r="I156" s="120"/>
      <c r="J156" s="120"/>
    </row>
    <row r="157" spans="3:10" ht="15.75">
      <c r="C157" s="2"/>
      <c r="D157" s="118"/>
      <c r="E157" s="118"/>
      <c r="F157" s="2"/>
      <c r="G157" s="119"/>
      <c r="H157" s="119"/>
      <c r="I157" s="120"/>
      <c r="J157" s="120"/>
    </row>
    <row r="158" spans="3:10" ht="15.75">
      <c r="C158" s="2"/>
      <c r="D158" s="118"/>
      <c r="E158" s="118"/>
      <c r="F158" s="2"/>
      <c r="G158" s="119"/>
      <c r="H158" s="119"/>
      <c r="I158" s="120"/>
      <c r="J158" s="120"/>
    </row>
    <row r="159" spans="3:10" ht="15.75">
      <c r="C159" s="2"/>
      <c r="D159" s="118"/>
      <c r="E159" s="118"/>
      <c r="F159" s="2"/>
      <c r="G159" s="119"/>
      <c r="H159" s="119"/>
      <c r="I159" s="120"/>
      <c r="J159" s="120"/>
    </row>
    <row r="160" spans="3:10" ht="15.75">
      <c r="C160" s="2"/>
      <c r="D160" s="118"/>
      <c r="E160" s="118"/>
      <c r="F160" s="2"/>
      <c r="G160" s="119"/>
      <c r="H160" s="119"/>
      <c r="I160" s="120"/>
      <c r="J160" s="120"/>
    </row>
    <row r="161" spans="3:10" ht="15.75">
      <c r="C161" s="2"/>
      <c r="D161" s="118"/>
      <c r="E161" s="118"/>
      <c r="F161" s="2"/>
      <c r="G161" s="119"/>
      <c r="H161" s="119"/>
      <c r="I161" s="120"/>
      <c r="J161" s="120"/>
    </row>
    <row r="162" spans="3:10" ht="15.75">
      <c r="C162" s="2"/>
      <c r="D162" s="118"/>
      <c r="E162" s="118"/>
      <c r="F162" s="2"/>
      <c r="G162" s="119"/>
      <c r="H162" s="119"/>
      <c r="I162" s="120"/>
      <c r="J162" s="120"/>
    </row>
    <row r="163" spans="3:10" ht="15.75">
      <c r="C163" s="2"/>
      <c r="D163" s="118"/>
      <c r="E163" s="118"/>
      <c r="F163" s="2"/>
      <c r="G163" s="119"/>
      <c r="H163" s="119"/>
      <c r="I163" s="120"/>
      <c r="J163" s="120"/>
    </row>
    <row r="164" spans="3:10" ht="15.75">
      <c r="C164" s="2"/>
      <c r="D164" s="118"/>
      <c r="E164" s="118"/>
      <c r="F164" s="2"/>
      <c r="G164" s="119"/>
      <c r="H164" s="119"/>
      <c r="I164" s="120"/>
      <c r="J164" s="120"/>
    </row>
    <row r="165" spans="3:10" ht="15.75">
      <c r="C165" s="2"/>
      <c r="D165" s="118"/>
      <c r="E165" s="118"/>
      <c r="F165" s="2"/>
      <c r="G165" s="119"/>
      <c r="H165" s="119"/>
      <c r="I165" s="120"/>
      <c r="J165" s="120"/>
    </row>
    <row r="166" spans="3:10" ht="15.75">
      <c r="C166" s="2"/>
      <c r="D166" s="118"/>
      <c r="E166" s="118"/>
      <c r="F166" s="2"/>
      <c r="G166" s="119"/>
      <c r="H166" s="119"/>
      <c r="I166" s="120"/>
      <c r="J166" s="120"/>
    </row>
    <row r="167" spans="3:10" ht="15.75">
      <c r="C167" s="2"/>
      <c r="D167" s="118"/>
      <c r="E167" s="118"/>
      <c r="F167" s="2"/>
      <c r="G167" s="119"/>
      <c r="H167" s="119"/>
      <c r="I167" s="120"/>
      <c r="J167" s="120"/>
    </row>
    <row r="168" spans="3:10" ht="15.75">
      <c r="C168" s="2"/>
      <c r="D168" s="118"/>
      <c r="E168" s="118"/>
      <c r="F168" s="2"/>
      <c r="G168" s="119"/>
      <c r="H168" s="119"/>
      <c r="I168" s="120"/>
      <c r="J168" s="120"/>
    </row>
    <row r="169" spans="3:10" ht="15.75">
      <c r="C169" s="2"/>
      <c r="D169" s="118"/>
      <c r="E169" s="118"/>
      <c r="F169" s="2"/>
      <c r="G169" s="119"/>
      <c r="H169" s="119"/>
      <c r="I169" s="120"/>
      <c r="J169" s="120"/>
    </row>
    <row r="170" spans="3:10" ht="15.75">
      <c r="C170" s="2"/>
      <c r="D170" s="118"/>
      <c r="E170" s="118"/>
      <c r="F170" s="2"/>
      <c r="G170" s="119"/>
      <c r="H170" s="119"/>
      <c r="I170" s="120"/>
      <c r="J170" s="120"/>
    </row>
    <row r="171" spans="3:10" ht="15.75">
      <c r="C171" s="2"/>
      <c r="D171" s="118"/>
      <c r="E171" s="118"/>
      <c r="F171" s="2"/>
      <c r="G171" s="119"/>
      <c r="H171" s="119"/>
      <c r="I171" s="120"/>
      <c r="J171" s="120"/>
    </row>
    <row r="172" spans="3:10" ht="15.75">
      <c r="C172" s="2"/>
      <c r="D172" s="118"/>
      <c r="E172" s="118"/>
      <c r="F172" s="2"/>
      <c r="G172" s="119"/>
      <c r="H172" s="119"/>
      <c r="I172" s="120"/>
      <c r="J172" s="120"/>
    </row>
    <row r="173" spans="3:10" ht="15.75">
      <c r="C173" s="2"/>
      <c r="D173" s="118"/>
      <c r="E173" s="118"/>
      <c r="F173" s="2"/>
      <c r="G173" s="119"/>
      <c r="H173" s="119"/>
      <c r="I173" s="120"/>
      <c r="J173" s="120"/>
    </row>
    <row r="174" spans="3:10" ht="15.75">
      <c r="C174" s="2"/>
      <c r="D174" s="118"/>
      <c r="E174" s="118"/>
      <c r="F174" s="2"/>
      <c r="G174" s="119"/>
      <c r="H174" s="119"/>
      <c r="I174" s="120"/>
      <c r="J174" s="120"/>
    </row>
    <row r="175" spans="3:10" ht="15.75">
      <c r="C175" s="2"/>
      <c r="D175" s="118"/>
      <c r="E175" s="118"/>
      <c r="F175" s="2"/>
      <c r="G175" s="119"/>
      <c r="H175" s="119"/>
      <c r="I175" s="120"/>
      <c r="J175" s="120"/>
    </row>
    <row r="176" spans="3:10" ht="15.75">
      <c r="C176" s="2"/>
      <c r="D176" s="118"/>
      <c r="E176" s="118"/>
      <c r="F176" s="2"/>
      <c r="G176" s="119"/>
      <c r="H176" s="119"/>
      <c r="I176" s="120"/>
      <c r="J176" s="120"/>
    </row>
    <row r="177" spans="3:10" ht="15.75">
      <c r="C177" s="2"/>
      <c r="D177" s="118"/>
      <c r="E177" s="118"/>
      <c r="F177" s="2"/>
      <c r="G177" s="119"/>
      <c r="H177" s="119"/>
      <c r="I177" s="120"/>
      <c r="J177" s="120"/>
    </row>
    <row r="178" spans="3:10" ht="15.75">
      <c r="C178" s="2"/>
      <c r="D178" s="118"/>
      <c r="E178" s="118"/>
      <c r="F178" s="2"/>
      <c r="G178" s="119"/>
      <c r="H178" s="119"/>
      <c r="I178" s="120"/>
      <c r="J178" s="120"/>
    </row>
    <row r="179" spans="3:10" ht="15.75">
      <c r="C179" s="2"/>
      <c r="D179" s="118"/>
      <c r="E179" s="118"/>
      <c r="F179" s="121"/>
      <c r="G179" s="119"/>
      <c r="H179" s="119"/>
      <c r="I179" s="120"/>
      <c r="J179" s="120"/>
    </row>
    <row r="180" spans="3:10" ht="15.75">
      <c r="C180" s="2"/>
      <c r="D180" s="118"/>
      <c r="E180" s="118"/>
      <c r="F180" s="2"/>
      <c r="G180" s="119"/>
      <c r="H180" s="119"/>
      <c r="I180" s="120"/>
      <c r="J180" s="120"/>
    </row>
    <row r="181" spans="3:10" ht="15.75">
      <c r="C181" s="2"/>
      <c r="D181" s="118"/>
      <c r="E181" s="118"/>
      <c r="F181" s="2"/>
      <c r="G181" s="119"/>
      <c r="H181" s="119"/>
      <c r="I181" s="120"/>
      <c r="J181" s="120"/>
    </row>
    <row r="182" spans="3:10" ht="15.75">
      <c r="C182" s="2"/>
      <c r="D182" s="118"/>
      <c r="E182" s="118"/>
      <c r="F182" s="2"/>
      <c r="G182" s="119"/>
      <c r="H182" s="119"/>
      <c r="I182" s="120"/>
      <c r="J182" s="120"/>
    </row>
    <row r="183" spans="3:10" ht="15.75">
      <c r="C183" s="2"/>
      <c r="D183" s="118"/>
      <c r="E183" s="118"/>
      <c r="F183" s="2"/>
      <c r="G183" s="119"/>
      <c r="H183" s="119"/>
      <c r="I183" s="120"/>
      <c r="J183" s="120"/>
    </row>
    <row r="184" spans="3:10" ht="15.75">
      <c r="C184" s="2"/>
      <c r="D184" s="118"/>
      <c r="E184" s="118"/>
      <c r="F184" s="2"/>
      <c r="G184" s="119"/>
      <c r="H184" s="119"/>
      <c r="I184" s="120"/>
      <c r="J184" s="120"/>
    </row>
    <row r="185" spans="3:10" ht="15.75">
      <c r="C185" s="2"/>
      <c r="D185" s="118"/>
      <c r="E185" s="118"/>
      <c r="F185" s="2"/>
      <c r="G185" s="119"/>
      <c r="H185" s="119"/>
      <c r="I185" s="120"/>
      <c r="J185" s="120"/>
    </row>
    <row r="193" ht="15.75">
      <c r="F193" s="122"/>
    </row>
    <row r="202" ht="15.75">
      <c r="F202" s="122"/>
    </row>
    <row r="208" ht="15.75">
      <c r="F208" s="122"/>
    </row>
    <row r="211" ht="15.75">
      <c r="F211" s="122"/>
    </row>
    <row r="214" ht="15.75">
      <c r="F214" s="123"/>
    </row>
    <row r="222" ht="15.75">
      <c r="F222" s="122"/>
    </row>
    <row r="224" ht="15.75">
      <c r="F224" s="124"/>
    </row>
    <row r="226" ht="15.75">
      <c r="F226" s="125"/>
    </row>
    <row r="227" ht="15.75">
      <c r="F227" s="125"/>
    </row>
    <row r="230" ht="15.75">
      <c r="F230" s="5"/>
    </row>
    <row r="231" ht="15.75">
      <c r="F231" s="126"/>
    </row>
    <row r="232" ht="15.75">
      <c r="F232" s="6"/>
    </row>
    <row r="233" ht="15.75">
      <c r="F233" s="6"/>
    </row>
    <row r="234" ht="15.75">
      <c r="F234" s="6"/>
    </row>
    <row r="235" ht="15.75">
      <c r="F235" s="6"/>
    </row>
    <row r="236" ht="15.75">
      <c r="F236" s="6"/>
    </row>
    <row r="237" ht="15.75">
      <c r="F237" s="6"/>
    </row>
    <row r="238" ht="15.75">
      <c r="F238" s="6"/>
    </row>
    <row r="239" ht="15.75">
      <c r="F239" s="6"/>
    </row>
    <row r="240" ht="15.75">
      <c r="F240" s="6"/>
    </row>
    <row r="241" ht="15.75">
      <c r="F241" s="6"/>
    </row>
    <row r="242" ht="15.75">
      <c r="F242" s="6"/>
    </row>
    <row r="243" ht="15.75">
      <c r="F243" s="6"/>
    </row>
    <row r="244" ht="15.75">
      <c r="F244" s="6"/>
    </row>
    <row r="245" ht="15.75">
      <c r="F245" s="6"/>
    </row>
    <row r="246" ht="15.75">
      <c r="F246" s="6"/>
    </row>
    <row r="247" ht="15.75">
      <c r="F247" s="6"/>
    </row>
    <row r="248" ht="15.75">
      <c r="F248" s="6"/>
    </row>
    <row r="249" ht="15.75">
      <c r="F249" s="6"/>
    </row>
    <row r="250" ht="15.75">
      <c r="F250" s="6"/>
    </row>
    <row r="251" ht="15.75">
      <c r="F251" s="6"/>
    </row>
    <row r="252" ht="15.75">
      <c r="F252" s="6"/>
    </row>
    <row r="253" ht="15.75">
      <c r="F253" s="6"/>
    </row>
  </sheetData>
  <sheetProtection selectLockedCells="1" selectUnlockedCells="1"/>
  <mergeCells count="19">
    <mergeCell ref="C130:H130"/>
    <mergeCell ref="B142:D142"/>
    <mergeCell ref="C2:K2"/>
    <mergeCell ref="A105:B105"/>
    <mergeCell ref="C105:H105"/>
    <mergeCell ref="A114:B114"/>
    <mergeCell ref="C114:H114"/>
    <mergeCell ref="A124:B124"/>
    <mergeCell ref="C124:H124"/>
    <mergeCell ref="C45:H45"/>
    <mergeCell ref="A49:B49"/>
    <mergeCell ref="A82:B82"/>
    <mergeCell ref="D82:F82"/>
    <mergeCell ref="A98:B98"/>
    <mergeCell ref="C98:H98"/>
    <mergeCell ref="C1:K1"/>
    <mergeCell ref="C5:H5"/>
    <mergeCell ref="A16:B16"/>
    <mergeCell ref="C16:H16"/>
  </mergeCells>
  <printOptions horizontalCentered="1"/>
  <pageMargins left="0" right="0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PageLayoutView="0" workbookViewId="0" topLeftCell="C96">
      <selection activeCell="H141" sqref="H14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152" t="s">
        <v>410</v>
      </c>
      <c r="F1" s="152"/>
      <c r="G1" s="152"/>
      <c r="H1" s="152"/>
    </row>
    <row r="2" spans="5:8" ht="12.75" customHeight="1">
      <c r="E2" s="153" t="s">
        <v>411</v>
      </c>
      <c r="F2" s="153"/>
      <c r="G2" s="153"/>
      <c r="H2" s="153"/>
    </row>
    <row r="3" spans="5:9" ht="12.75" customHeight="1">
      <c r="E3" s="153" t="s">
        <v>412</v>
      </c>
      <c r="F3" s="153"/>
      <c r="G3" s="153"/>
      <c r="H3" s="153"/>
      <c r="I3" s="153"/>
    </row>
    <row r="4" spans="5:8" ht="12.75" customHeight="1">
      <c r="E4" s="153" t="s">
        <v>413</v>
      </c>
      <c r="F4" s="153"/>
      <c r="G4" s="153"/>
      <c r="H4" s="153"/>
    </row>
    <row r="5" spans="5:8" ht="12.75" customHeight="1">
      <c r="E5" s="153" t="s">
        <v>414</v>
      </c>
      <c r="F5" s="153"/>
      <c r="G5" s="153"/>
      <c r="H5" s="153"/>
    </row>
    <row r="6" spans="5:8" ht="12.75" customHeight="1">
      <c r="E6" s="153" t="s">
        <v>415</v>
      </c>
      <c r="F6" s="153"/>
      <c r="G6" s="153"/>
      <c r="H6" s="153"/>
    </row>
    <row r="7" spans="5:8" ht="12.75" customHeight="1">
      <c r="E7" s="153" t="s">
        <v>416</v>
      </c>
      <c r="F7" s="153"/>
      <c r="G7" s="153"/>
      <c r="H7" s="153"/>
    </row>
    <row r="8" spans="5:8" ht="12.75" customHeight="1">
      <c r="E8" s="153" t="s">
        <v>417</v>
      </c>
      <c r="F8" s="153"/>
      <c r="G8" s="153"/>
      <c r="H8" s="153"/>
    </row>
    <row r="9" spans="1:9" ht="30" customHeight="1">
      <c r="A9" s="132" t="s">
        <v>418</v>
      </c>
      <c r="B9" s="132"/>
      <c r="C9" s="132"/>
      <c r="D9" s="132"/>
      <c r="E9" s="132"/>
      <c r="F9" s="132"/>
      <c r="G9" s="132"/>
      <c r="H9" s="132"/>
      <c r="I9" s="132"/>
    </row>
    <row r="10" spans="1:8" ht="15.75" customHeight="1">
      <c r="A10"/>
      <c r="B10"/>
      <c r="C10" s="9"/>
      <c r="D10" s="133" t="s">
        <v>2</v>
      </c>
      <c r="E10" s="133"/>
      <c r="F10" s="133"/>
      <c r="G10" s="133"/>
      <c r="H10" s="133"/>
    </row>
    <row r="11" spans="1:8" ht="15.75" hidden="1">
      <c r="A11" s="134"/>
      <c r="B11" s="134"/>
      <c r="C11" s="134"/>
      <c r="D11" s="134"/>
      <c r="E11" s="134"/>
      <c r="F11" s="134"/>
      <c r="G11" s="134"/>
      <c r="H11" s="134"/>
    </row>
    <row r="12" spans="1:9" ht="34.5" customHeight="1">
      <c r="A12" s="135" t="s">
        <v>3</v>
      </c>
      <c r="B12" s="135" t="s">
        <v>4</v>
      </c>
      <c r="C12" s="136" t="s">
        <v>5</v>
      </c>
      <c r="D12" s="137" t="s">
        <v>6</v>
      </c>
      <c r="E12" s="137" t="s">
        <v>7</v>
      </c>
      <c r="F12" s="136" t="s">
        <v>8</v>
      </c>
      <c r="G12" s="11" t="s">
        <v>9</v>
      </c>
      <c r="H12" s="11" t="s">
        <v>10</v>
      </c>
      <c r="I12" s="138" t="s">
        <v>419</v>
      </c>
    </row>
    <row r="13" spans="1:9" ht="15" customHeight="1">
      <c r="A13" s="135"/>
      <c r="B13" s="135"/>
      <c r="C13" s="136"/>
      <c r="D13" s="137"/>
      <c r="E13" s="137"/>
      <c r="F13" s="136"/>
      <c r="G13" s="138" t="s">
        <v>11</v>
      </c>
      <c r="H13" s="138"/>
      <c r="I13" s="138"/>
    </row>
    <row r="14" spans="1:9" ht="15.75">
      <c r="A14" s="135"/>
      <c r="B14" s="135"/>
      <c r="C14" s="136"/>
      <c r="D14" s="137"/>
      <c r="E14" s="137"/>
      <c r="F14" s="136"/>
      <c r="G14" s="138">
        <v>559.4</v>
      </c>
      <c r="H14" s="138"/>
      <c r="I14" s="138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139" t="s">
        <v>25</v>
      </c>
      <c r="B23" s="139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139" t="s">
        <v>31</v>
      </c>
      <c r="B25" s="139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140" t="s">
        <v>46</v>
      </c>
      <c r="B31" s="140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139" t="s">
        <v>55</v>
      </c>
      <c r="B35" s="139"/>
      <c r="C35" s="139"/>
      <c r="D35" s="139"/>
      <c r="E35" s="139"/>
      <c r="F35" s="139"/>
      <c r="G35" s="21">
        <v>9</v>
      </c>
      <c r="H35" s="16"/>
      <c r="I35" s="16"/>
    </row>
    <row r="36" spans="1:9" ht="12.75" customHeight="1" hidden="1">
      <c r="A36" s="139" t="s">
        <v>56</v>
      </c>
      <c r="B36" s="139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139" t="s">
        <v>31</v>
      </c>
      <c r="B53" s="139"/>
      <c r="C53" s="22"/>
      <c r="D53" s="141" t="s">
        <v>98</v>
      </c>
      <c r="E53" s="141"/>
      <c r="F53" s="141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139" t="s">
        <v>101</v>
      </c>
      <c r="B55" s="139"/>
      <c r="C55" s="22"/>
      <c r="D55" s="141" t="s">
        <v>102</v>
      </c>
      <c r="E55" s="141"/>
      <c r="F55" s="141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139" t="s">
        <v>112</v>
      </c>
      <c r="B59" s="139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139" t="s">
        <v>125</v>
      </c>
      <c r="B63" s="139"/>
      <c r="C63" s="139"/>
      <c r="D63" s="139"/>
      <c r="E63" s="139"/>
      <c r="F63" s="139"/>
      <c r="G63" s="21">
        <v>9</v>
      </c>
      <c r="H63" s="16"/>
      <c r="I63" s="16"/>
    </row>
    <row r="64" spans="1:9" ht="12.75" customHeight="1" hidden="1">
      <c r="A64" s="139" t="s">
        <v>126</v>
      </c>
      <c r="B64" s="139"/>
      <c r="C64" s="22"/>
      <c r="D64" s="141" t="s">
        <v>127</v>
      </c>
      <c r="E64" s="141"/>
      <c r="F64" s="141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139" t="s">
        <v>131</v>
      </c>
      <c r="B66" s="139"/>
      <c r="C66" s="22"/>
      <c r="D66" s="141" t="s">
        <v>132</v>
      </c>
      <c r="E66" s="141"/>
      <c r="F66" s="141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139" t="s">
        <v>137</v>
      </c>
      <c r="B68" s="139"/>
      <c r="C68" s="30"/>
      <c r="D68" s="141" t="s">
        <v>138</v>
      </c>
      <c r="E68" s="141"/>
      <c r="F68" s="141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139" t="s">
        <v>150</v>
      </c>
      <c r="B73" s="139"/>
      <c r="C73" s="22"/>
      <c r="D73" s="141" t="s">
        <v>151</v>
      </c>
      <c r="E73" s="141"/>
      <c r="F73" s="141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142" t="s">
        <v>163</v>
      </c>
      <c r="E79" s="142"/>
      <c r="F79" s="142"/>
      <c r="G79" s="142"/>
      <c r="H79" s="142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139" t="s">
        <v>167</v>
      </c>
      <c r="C83" s="139"/>
      <c r="D83" s="139"/>
      <c r="E83" s="139"/>
      <c r="F83" s="139"/>
      <c r="G83" s="42">
        <v>9</v>
      </c>
      <c r="H83" s="36"/>
      <c r="I83" s="16"/>
    </row>
    <row r="84" spans="1:9" ht="15.75" customHeight="1">
      <c r="A84" s="139" t="s">
        <v>25</v>
      </c>
      <c r="B84" s="139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127">
        <f>PRODUCT(H85/12/559.4)</f>
        <v>0.2520557740436182</v>
      </c>
    </row>
    <row r="86" spans="1:9" ht="15.75" customHeight="1">
      <c r="A86" s="139" t="s">
        <v>56</v>
      </c>
      <c r="B86" s="139"/>
      <c r="C86" s="22"/>
      <c r="D86" s="141" t="s">
        <v>32</v>
      </c>
      <c r="E86" s="141"/>
      <c r="F86" s="141"/>
      <c r="G86" s="21">
        <v>9</v>
      </c>
      <c r="H86" s="16"/>
      <c r="I86" s="127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127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127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127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127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127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127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127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127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127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127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127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127">
        <f t="shared" si="0"/>
        <v>0.09295673936360387</v>
      </c>
    </row>
    <row r="99" spans="1:9" ht="15.75" customHeight="1">
      <c r="A99" s="139" t="s">
        <v>126</v>
      </c>
      <c r="B99" s="139"/>
      <c r="C99" s="22"/>
      <c r="D99" s="141" t="s">
        <v>47</v>
      </c>
      <c r="E99" s="141"/>
      <c r="F99" s="141"/>
      <c r="G99" s="21">
        <v>9</v>
      </c>
      <c r="H99" s="16"/>
      <c r="I99" s="127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127">
        <f>PRODUCT(H100/12/559.4)</f>
        <v>0.657847693957812</v>
      </c>
    </row>
    <row r="101" spans="1:9" ht="12.75" customHeight="1" hidden="1">
      <c r="A101" s="139" t="s">
        <v>131</v>
      </c>
      <c r="B101" s="139"/>
      <c r="C101" s="22"/>
      <c r="D101" s="141" t="s">
        <v>192</v>
      </c>
      <c r="E101" s="141"/>
      <c r="F101" s="141"/>
      <c r="G101" s="21">
        <v>9</v>
      </c>
      <c r="H101" s="21"/>
      <c r="I101" s="127"/>
    </row>
    <row r="102" spans="1:9" ht="15.75" customHeight="1">
      <c r="A102" s="24"/>
      <c r="B102" s="139" t="s">
        <v>193</v>
      </c>
      <c r="C102" s="139"/>
      <c r="D102" s="139"/>
      <c r="E102" s="139"/>
      <c r="F102" s="139"/>
      <c r="G102" s="21">
        <v>9</v>
      </c>
      <c r="H102" s="16"/>
      <c r="I102" s="127"/>
    </row>
    <row r="103" spans="1:9" ht="15.75" customHeight="1">
      <c r="A103" s="139" t="s">
        <v>25</v>
      </c>
      <c r="B103" s="139"/>
      <c r="C103" s="22"/>
      <c r="D103" s="141" t="s">
        <v>194</v>
      </c>
      <c r="E103" s="141"/>
      <c r="F103" s="141"/>
      <c r="G103" s="21">
        <v>9</v>
      </c>
      <c r="H103" s="16"/>
      <c r="I103" s="127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127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127">
        <f>PRODUCT(H105/12/559.4)</f>
        <v>0.18233821952091528</v>
      </c>
    </row>
    <row r="106" spans="1:9" ht="15.75" customHeight="1">
      <c r="A106" s="139" t="s">
        <v>31</v>
      </c>
      <c r="B106" s="139"/>
      <c r="C106" s="22"/>
      <c r="D106" s="141" t="s">
        <v>199</v>
      </c>
      <c r="E106" s="141"/>
      <c r="F106" s="141"/>
      <c r="G106" s="21">
        <v>9</v>
      </c>
      <c r="H106" s="16"/>
      <c r="I106" s="127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127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127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127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127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127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127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127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127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127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127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127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127">
        <f t="shared" si="1"/>
        <v>0.7458884519127637</v>
      </c>
    </row>
    <row r="119" spans="1:9" ht="15.75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127">
        <f t="shared" si="1"/>
        <v>0.06599332618281492</v>
      </c>
    </row>
    <row r="120" spans="1:9" ht="15.75" customHeight="1">
      <c r="A120" s="139" t="s">
        <v>55</v>
      </c>
      <c r="B120" s="139"/>
      <c r="C120" s="139"/>
      <c r="D120" s="139"/>
      <c r="E120" s="139"/>
      <c r="F120" s="139"/>
      <c r="G120" s="21">
        <v>9</v>
      </c>
      <c r="H120" s="16"/>
      <c r="I120" s="127"/>
    </row>
    <row r="121" spans="1:9" ht="15.75" customHeight="1">
      <c r="A121" s="139" t="s">
        <v>25</v>
      </c>
      <c r="B121" s="139"/>
      <c r="C121" s="22"/>
      <c r="D121" s="141" t="s">
        <v>57</v>
      </c>
      <c r="E121" s="141"/>
      <c r="F121" s="141"/>
      <c r="G121" s="21">
        <v>9</v>
      </c>
      <c r="H121" s="16"/>
      <c r="I121" s="127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127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127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127">
        <f>PRODUCT(H124/12/559.4)</f>
        <v>0.1841258491240615</v>
      </c>
    </row>
    <row r="125" spans="1:9" ht="15.75" customHeight="1">
      <c r="A125" s="139" t="s">
        <v>31</v>
      </c>
      <c r="B125" s="139"/>
      <c r="C125" s="22"/>
      <c r="D125" s="141" t="s">
        <v>98</v>
      </c>
      <c r="E125" s="141"/>
      <c r="F125" s="141"/>
      <c r="G125" s="21">
        <v>9</v>
      </c>
      <c r="H125" s="16"/>
      <c r="I125" s="127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127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127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127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127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127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127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127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127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127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127">
        <f t="shared" si="2"/>
        <v>0.05899177690382553</v>
      </c>
    </row>
    <row r="136" spans="1:9" ht="15.75" customHeight="1">
      <c r="A136" s="139" t="s">
        <v>101</v>
      </c>
      <c r="B136" s="139"/>
      <c r="C136" s="22"/>
      <c r="D136" s="141" t="s">
        <v>102</v>
      </c>
      <c r="E136" s="141"/>
      <c r="F136" s="141"/>
      <c r="G136" s="21">
        <v>9</v>
      </c>
      <c r="H136" s="16"/>
      <c r="I136" s="127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127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127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127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127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127">
        <f>PRODUCT(H141/12/559.4)</f>
        <v>0.029942795852699322</v>
      </c>
    </row>
    <row r="142" spans="1:9" ht="12.75" customHeight="1" hidden="1">
      <c r="A142" s="139"/>
      <c r="B142" s="139"/>
      <c r="C142" s="22"/>
      <c r="D142" s="141" t="s">
        <v>113</v>
      </c>
      <c r="E142" s="141"/>
      <c r="F142" s="141"/>
      <c r="G142" s="21">
        <v>9</v>
      </c>
      <c r="H142" s="16"/>
      <c r="I142" s="127"/>
    </row>
    <row r="143" spans="1:9" ht="15.75" customHeight="1">
      <c r="A143" s="139" t="s">
        <v>25</v>
      </c>
      <c r="B143" s="139"/>
      <c r="C143" s="22"/>
      <c r="D143" s="141" t="s">
        <v>113</v>
      </c>
      <c r="E143" s="141"/>
      <c r="F143" s="141"/>
      <c r="G143" s="21">
        <v>9</v>
      </c>
      <c r="H143" s="16"/>
      <c r="I143" s="127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127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127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127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127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127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127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127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127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127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127">
        <f t="shared" si="3"/>
        <v>0.15090573233226076</v>
      </c>
    </row>
    <row r="154" spans="1:9" ht="15.75" customHeight="1">
      <c r="A154" s="139" t="s">
        <v>125</v>
      </c>
      <c r="B154" s="139"/>
      <c r="C154" s="139"/>
      <c r="D154" s="139"/>
      <c r="E154" s="139"/>
      <c r="F154" s="139"/>
      <c r="G154" s="21">
        <v>9</v>
      </c>
      <c r="H154" s="16"/>
      <c r="I154" s="127"/>
    </row>
    <row r="155" spans="1:9" ht="15.75" customHeight="1">
      <c r="A155" s="139" t="s">
        <v>25</v>
      </c>
      <c r="B155" s="139"/>
      <c r="C155" s="22"/>
      <c r="D155" s="141" t="s">
        <v>127</v>
      </c>
      <c r="E155" s="141"/>
      <c r="F155" s="141"/>
      <c r="G155" s="21">
        <v>9</v>
      </c>
      <c r="H155" s="16"/>
      <c r="I155" s="127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127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127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127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127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127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127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127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127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127">
        <f t="shared" si="4"/>
        <v>0.21987844118698607</v>
      </c>
    </row>
    <row r="165" spans="1:9" ht="15.75" customHeight="1">
      <c r="A165" s="139" t="s">
        <v>101</v>
      </c>
      <c r="B165" s="139"/>
      <c r="C165" s="22"/>
      <c r="D165" s="141" t="s">
        <v>138</v>
      </c>
      <c r="E165" s="141"/>
      <c r="F165" s="141"/>
      <c r="G165" s="21">
        <v>9</v>
      </c>
      <c r="H165" s="16"/>
      <c r="I165" s="127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127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127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127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127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127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127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127">
        <f t="shared" si="5"/>
        <v>0.06539744964843285</v>
      </c>
    </row>
    <row r="173" spans="1:9" ht="15.75" customHeight="1">
      <c r="A173" s="139" t="s">
        <v>46</v>
      </c>
      <c r="B173" s="139"/>
      <c r="C173" s="22"/>
      <c r="D173" s="141" t="s">
        <v>151</v>
      </c>
      <c r="E173" s="141"/>
      <c r="F173" s="141"/>
      <c r="G173" s="21">
        <v>9</v>
      </c>
      <c r="H173" s="16"/>
      <c r="I173" s="127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127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127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127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127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127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127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127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127">
        <f t="shared" si="6"/>
        <v>0.001042783935168633</v>
      </c>
    </row>
    <row r="182" spans="1:9" ht="15.75" customHeight="1">
      <c r="A182" s="139" t="s">
        <v>56</v>
      </c>
      <c r="B182" s="139"/>
      <c r="C182" s="22"/>
      <c r="D182" s="141" t="s">
        <v>297</v>
      </c>
      <c r="E182" s="141"/>
      <c r="F182" s="141"/>
      <c r="G182" s="21">
        <v>9</v>
      </c>
      <c r="H182" s="16"/>
      <c r="I182" s="127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127">
        <f>PRODUCT(H183/12/559.4)</f>
        <v>0.06360982004528662</v>
      </c>
    </row>
  </sheetData>
  <sheetProtection selectLockedCells="1" selectUnlockedCells="1"/>
  <mergeCells count="73">
    <mergeCell ref="A165:B165"/>
    <mergeCell ref="D165:F165"/>
    <mergeCell ref="A173:B173"/>
    <mergeCell ref="D173:F173"/>
    <mergeCell ref="A182:B182"/>
    <mergeCell ref="D182:F182"/>
    <mergeCell ref="A142:B142"/>
    <mergeCell ref="D142:F142"/>
    <mergeCell ref="A143:B143"/>
    <mergeCell ref="D143:F143"/>
    <mergeCell ref="A154:F154"/>
    <mergeCell ref="A155:B155"/>
    <mergeCell ref="D155:F155"/>
    <mergeCell ref="A121:B121"/>
    <mergeCell ref="D121:F121"/>
    <mergeCell ref="A125:B125"/>
    <mergeCell ref="D125:F125"/>
    <mergeCell ref="A136:B136"/>
    <mergeCell ref="D136:F136"/>
    <mergeCell ref="B102:F102"/>
    <mergeCell ref="A103:B103"/>
    <mergeCell ref="D103:F103"/>
    <mergeCell ref="A106:B106"/>
    <mergeCell ref="D106:F106"/>
    <mergeCell ref="A120:F120"/>
    <mergeCell ref="A84:B84"/>
    <mergeCell ref="A86:B86"/>
    <mergeCell ref="D86:F86"/>
    <mergeCell ref="A99:B99"/>
    <mergeCell ref="D99:F99"/>
    <mergeCell ref="A101:B101"/>
    <mergeCell ref="D101:F101"/>
    <mergeCell ref="A68:B68"/>
    <mergeCell ref="D68:F68"/>
    <mergeCell ref="A73:B73"/>
    <mergeCell ref="D73:F73"/>
    <mergeCell ref="D79:H79"/>
    <mergeCell ref="B83:F83"/>
    <mergeCell ref="A59:B59"/>
    <mergeCell ref="A63:F63"/>
    <mergeCell ref="A64:B64"/>
    <mergeCell ref="D64:F64"/>
    <mergeCell ref="A66:B66"/>
    <mergeCell ref="D66:F66"/>
    <mergeCell ref="A31:B31"/>
    <mergeCell ref="A35:F35"/>
    <mergeCell ref="A36:B36"/>
    <mergeCell ref="A53:B53"/>
    <mergeCell ref="D53:F53"/>
    <mergeCell ref="A55:B55"/>
    <mergeCell ref="D55:F55"/>
    <mergeCell ref="F12:F14"/>
    <mergeCell ref="I12:I14"/>
    <mergeCell ref="G13:H13"/>
    <mergeCell ref="G14:H14"/>
    <mergeCell ref="A23:B23"/>
    <mergeCell ref="A25:B25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E1:H1"/>
    <mergeCell ref="E2:H2"/>
    <mergeCell ref="E3:I3"/>
    <mergeCell ref="E4:H4"/>
    <mergeCell ref="E5:H5"/>
    <mergeCell ref="E6:H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ingener</cp:lastModifiedBy>
  <cp:lastPrinted>2011-01-18T05:34:22Z</cp:lastPrinted>
  <dcterms:created xsi:type="dcterms:W3CDTF">2010-12-27T12:04:59Z</dcterms:created>
  <dcterms:modified xsi:type="dcterms:W3CDTF">2011-01-18T05:36:36Z</dcterms:modified>
  <cp:category/>
  <cp:version/>
  <cp:contentType/>
  <cp:contentStatus/>
</cp:coreProperties>
</file>