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<sst xmlns="http://schemas.openxmlformats.org/spreadsheetml/2006/main" count="1449" uniqueCount="463">
  <si>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</si>
  <si>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</si>
  <si>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</si>
  <si>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</si>
  <si>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</si>
  <si>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</si>
  <si>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</si>
  <si>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</si>
  <si>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</si>
  <si>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</si>
  <si>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</si>
  <si>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</si>
  <si>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</si>
  <si>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</si>
  <si>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</si>
  <si>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</si>
  <si>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</si>
  <si>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</si>
  <si>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</si>
  <si>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</si>
  <si>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</si>
  <si>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</si>
  <si>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</si>
  <si>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</si>
  <si>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</si>
  <si>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</si>
  <si>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</si>
  <si>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</si>
  <si>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</si>
  <si>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</si>
  <si>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</si>
  <si>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</si>
  <si>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</si>
  <si>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</si>
  <si>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</si>
  <si>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</si>
  <si>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</si>
  <si>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</si>
  <si>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</si>
  <si>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</si>
  <si>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</si>
  <si>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</si>
  <si>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</si>
  <si>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</si>
  <si>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</si>
  <si>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</si>
  <si>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</si>
  <si>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</si>
  <si>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</si>
  <si>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</si>
  <si>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</si>
  <si>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</si>
  <si>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</si>
  <si>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</si>
  <si>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</si>
  <si>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</si>
  <si>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</si>
  <si>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</si>
  <si>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</si>
  <si>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</si>
  <si>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</si>
  <si>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</si>
  <si>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</si>
  <si>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</si>
  <si>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</si>
  <si>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</si>
  <si>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</si>
  <si>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</si>
  <si>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</si>
  <si>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</si>
  <si>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</si>
  <si>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</si>
  <si>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</si>
  <si>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</si>
  <si>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</si>
  <si>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</si>
  <si>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</si>
  <si>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</si>
  <si>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</si>
  <si>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</si>
  <si>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</si>
  <si>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</si>
  <si>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</si>
  <si>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</si>
  <si>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</si>
  <si>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</si>
  <si>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</si>
  <si>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</si>
  <si>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</si>
  <si>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</si>
  <si>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</si>
  <si>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</si>
  <si>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</si>
  <si>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</si>
  <si>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</si>
  <si>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</si>
  <si>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</si>
  <si>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</si>
  <si>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</si>
  <si>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</si>
  <si>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</si>
  <si>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</si>
  <si>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</si>
  <si>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</si>
  <si>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</si>
  <si>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</si>
  <si>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</si>
  <si>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</si>
  <si>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</si>
  <si>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</si>
  <si>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</si>
  <si>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</si>
  <si>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</si>
  <si>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</si>
  <si>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</si>
  <si>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</si>
  <si>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</si>
  <si>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</si>
  <si>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</si>
  <si>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</si>
  <si>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</si>
  <si>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</si>
  <si>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</si>
  <si>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</si>
  <si>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</si>
  <si>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</si>
  <si>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</si>
  <si>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</si>
  <si>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</si>
  <si>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</si>
  <si>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</si>
  <si>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</si>
  <si>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</si>
  <si>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</si>
  <si>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</si>
  <si>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</si>
  <si>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</si>
  <si>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</si>
  <si>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</si>
  <si>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</si>
  <si>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</si>
  <si>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</si>
  <si>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</si>
  <si>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</si>
  <si>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</si>
  <si>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</si>
  <si>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</si>
  <si>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</si>
  <si>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</si>
  <si>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</si>
  <si>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</si>
  <si>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</si>
  <si>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</si>
  <si>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</si>
  <si>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</si>
  <si>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</si>
  <si>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</si>
  <si>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</si>
  <si>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</si>
  <si>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</si>
  <si>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</si>
  <si>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</si>
  <si>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</si>
  <si>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</si>
  <si>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</si>
  <si>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</si>
  <si>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</si>
  <si>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</si>
  <si>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</si>
  <si>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</si>
  <si>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</si>
  <si>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</si>
  <si>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</si>
  <si>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</si>
  <si>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</si>
  <si>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</si>
  <si>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</si>
  <si>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</si>
  <si>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</si>
  <si>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</si>
  <si>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</si>
  <si>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</si>
  <si>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</si>
  <si>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</si>
  <si>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</si>
  <si>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</si>
  <si>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</si>
  <si>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</si>
  <si>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</si>
  <si>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</si>
  <si>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</si>
  <si>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</si>
  <si>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</si>
  <si>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</si>
  <si>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</si>
  <si>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</si>
  <si>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</si>
  <si>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</si>
  <si>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</si>
  <si>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</si>
  <si>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</si>
  <si>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</si>
  <si>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</si>
  <si>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</si>
  <si>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</si>
  <si>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</si>
  <si>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</si>
  <si>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</si>
  <si>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</si>
  <si>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</si>
  <si>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</si>
  <si>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</si>
  <si>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</si>
  <si>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</si>
  <si>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</si>
  <si>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</si>
  <si>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</si>
  <si>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</si>
  <si>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</si>
  <si>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</si>
  <si>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</si>
  <si>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</si>
  <si>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</si>
  <si>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</si>
  <si>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</si>
  <si>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</si>
  <si>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</si>
  <si>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</si>
  <si>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</si>
  <si>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</si>
  <si>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</si>
  <si>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</si>
  <si>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</si>
  <si>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</si>
  <si>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</si>
  <si>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</si>
  <si>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</si>
  <si>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</si>
  <si>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</si>
  <si>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</si>
  <si>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</si>
  <si>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</si>
  <si>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</si>
  <si>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</si>
  <si>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</si>
  <si>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</si>
  <si>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</si>
  <si>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</si>
  <si>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</si>
  <si>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</si>
  <si>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</si>
  <si>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</si>
  <si>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</si>
  <si>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</si>
  <si>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</si>
  <si>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</si>
  <si>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</si>
  <si>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</si>
  <si>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</si>
  <si>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</si>
  <si>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</si>
  <si>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</si>
  <si>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</si>
  <si>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</si>
  <si>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</si>
  <si>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</si>
  <si>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</si>
  <si>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</si>
  <si>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</si>
  <si>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</si>
  <si>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</si>
  <si>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</si>
  <si>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</si>
  <si>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</si>
  <si>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</si>
  <si>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</si>
  <si>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</si>
  <si>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</si>
  <si>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</si>
  <si>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</si>
  <si>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</si>
  <si>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</si>
  <si>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</si>
  <si>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</si>
  <si>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</si>
  <si>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</si>
  <si>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</si>
  <si>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</si>
  <si>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</si>
  <si>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</si>
  <si>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</si>
  <si>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</si>
  <si>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</si>
  <si>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</si>
  <si>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</si>
  <si>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</si>
  <si>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</si>
  <si>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</si>
  <si>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</si>
  <si>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</si>
  <si>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</si>
  <si>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</si>
  <si>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</si>
  <si>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</si>
  <si>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</si>
  <si>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</si>
  <si>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</si>
  <si>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</si>
  <si>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</si>
  <si>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</si>
  <si>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</si>
  <si>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</si>
  <si>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</si>
  <si>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</si>
  <si>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</si>
  <si>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</si>
  <si>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</si>
  <si>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</si>
  <si>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</si>
  <si>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канал</t>
  </si>
  <si>
    <t>Ремонт отдельными местами рулонного покрытия  кровли  наплавляемыми материалами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</si>
  <si>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</si>
  <si>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</si>
  <si>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</si>
  <si>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</si>
  <si>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</si>
  <si>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</si>
  <si>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</si>
  <si>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</si>
  <si>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</si>
  <si>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</si>
  <si>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 xml:space="preserve">Ремонт дверных полотен со сменой петель </t>
  </si>
  <si>
    <t>шт.</t>
  </si>
  <si>
    <t>Смена дверных приборов - замков(чердак)</t>
  </si>
  <si>
    <t>ПОДЪЕЗДЫ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</si>
  <si>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</si>
  <si>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</si>
  <si>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</si>
  <si>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</si>
  <si>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</si>
  <si>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</si>
  <si>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</si>
  <si>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Контрольное снятие показаний ИПУ в квартирах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</si>
  <si>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</si>
  <si>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</si>
  <si>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</si>
  <si>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</si>
  <si>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</si>
  <si>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</si>
  <si>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57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</si>
  <si>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</si>
  <si>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</si>
  <si>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</si>
  <si>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</si>
  <si>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</si>
  <si>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</si>
  <si>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32мм</t>
  </si>
  <si>
    <t>Смена арматуры вентелей диаметров до 20мм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</si>
  <si>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</si>
  <si>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</si>
  <si>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</si>
  <si>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Установка узла учета ГВ</t>
  </si>
  <si>
    <t>Замена частей канализационного стояка патрубка</t>
  </si>
  <si>
    <t>Замена канализационных труб  в подвале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</si>
  <si>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</si>
  <si>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</si>
  <si>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</si>
  <si>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</si>
  <si>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</si>
  <si>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</si>
  <si>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</si>
  <si>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</si>
  <si>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</si>
  <si>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Ремонт выключателей</t>
  </si>
  <si>
    <t>Установка патронов навесных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</si>
  <si>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</si>
  <si>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</si>
  <si>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</si>
  <si>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</si>
  <si>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</si>
  <si>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</si>
  <si>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</si>
  <si>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</si>
  <si>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Осмотр мягкой кровли</t>
  </si>
  <si>
    <t>Сезонный осмотр элементов здания с внесением данных в паспорт готовности дома</t>
  </si>
  <si>
    <t>1 раза в год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</si>
  <si>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</si>
  <si>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</si>
  <si>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</si>
  <si>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</si>
  <si>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</si>
  <si>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</si>
  <si>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</si>
  <si>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</si>
  <si>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</si>
  <si>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</si>
  <si>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</si>
  <si>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</si>
  <si>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</si>
  <si>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</si>
  <si>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</si>
  <si>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Демонтаж, монтаж лифтового  и коммунального оборудования (после пожара)</t>
  </si>
  <si>
    <t>Ремонт приемных клапанов мусоропровода (4 под.)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</si>
  <si>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</si>
  <si>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</si>
  <si>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</si>
  <si>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</si>
  <si>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</si>
  <si>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</si>
  <si>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</si>
  <si>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</si>
  <si>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</si>
  <si>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</si>
  <si>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</si>
  <si>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</si>
  <si>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</si>
  <si>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</si>
  <si>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</si>
  <si>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</si>
  <si>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Смена внутренних трубопроводов из стальных труб диаметром 40 мм</t>
  </si>
  <si>
    <t>Мытье лестничных площадок и маршей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</si>
  <si>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</si>
  <si>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</si>
  <si>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</si>
  <si>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</si>
  <si>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Слив и наполнение водой системы отопления с осмотром</t>
  </si>
  <si>
    <t>1000 м3</t>
  </si>
  <si>
    <t>Замена металлических клапанов мусоропровода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</si>
  <si>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</si>
  <si>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</si>
  <si>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</si>
  <si>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Смена трубопроводов водоснабжения из напорных полиэтиленовых труб диаметром 40 мм (стояки кв.126,130,134,138,142,63,67,71,78,97,101,105,137,133,</t>
  </si>
  <si>
    <t>Смена внутренних трубопроводов из стальных труб диаметром 32 мм</t>
  </si>
  <si>
    <t>Смена колб к светильникам</t>
  </si>
  <si>
    <t>Устройство стяжек цементных полов</t>
  </si>
  <si>
    <t>Маслянная окраска окон (4 под.)</t>
  </si>
  <si>
    <t xml:space="preserve">Замена задвижек до 100 мм </t>
  </si>
  <si>
    <t>Замена фланцевых соединений на стальных трубопроводах</t>
  </si>
  <si>
    <t xml:space="preserve">Сварка трубных соединений </t>
  </si>
  <si>
    <t>Сборка и установка металлической ковровыбиралки, ограждений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</si>
  <si>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</si>
  <si>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</si>
  <si>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</si>
  <si>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1000м3</t>
  </si>
  <si>
    <t>Обшивка каркасных стен плитами древесностружечными</t>
  </si>
  <si>
    <t xml:space="preserve">Масляная окраска стен </t>
  </si>
  <si>
    <t>Валка деревьев в городских условиях</t>
  </si>
  <si>
    <t>Смена санитарных приборов /кв.40/</t>
  </si>
  <si>
    <t>Закрытие слуховых окон</t>
  </si>
  <si>
    <t>Перечень выполненных работ по управлению, содержанию и текущему ремонту общего имушества многоквартирного дома №28</t>
  </si>
  <si>
    <t xml:space="preserve">по ул.Старовского  за период с 01.01.2010г. по 31,12.2010 года </t>
  </si>
  <si>
    <t>Проверка и прочистка вентиляционных каналов</t>
  </si>
  <si>
    <t>Проверка и прочистка газодымоходов</t>
  </si>
  <si>
    <t>Снятие показаний с общедомовых приборов учета</t>
  </si>
  <si>
    <t>Подметание лестничных площадок и маршей с лифтами и мусоропроводом (с 1 по 12 эт.)</t>
  </si>
  <si>
    <t>1 раз в 3 месяца</t>
  </si>
  <si>
    <t>Изоляция трубопроводов изделиями из вспененного полиэтилена (Термофлекс) трубками (стояки отопления)</t>
  </si>
  <si>
    <t>10м</t>
  </si>
  <si>
    <t>Изготовление и установка металлических дверей в подвал</t>
  </si>
  <si>
    <t>Смена кабеля 2-4 жильного сечением жилы до 16 мм2 (коммунальное освещение 2 линии: подвал, 12 эт. )</t>
  </si>
  <si>
    <t>Ремонт кирпичной кладки стен отдельными местами /м/камера/</t>
  </si>
  <si>
    <t>Ремонт бетонных крылец</t>
  </si>
  <si>
    <t>Услуги по очистке и дезинфекции внутренней поверхности ствола мусоропровода (02.11.2010г.)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</si>
</sst>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  <numFmt numFmtId="169" formatCode="[$-FC19]d\ mmmm\ yyyy\ &quot;г.&quot;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vertical="top" wrapText="1"/>
      <protection locked="0"/>
    </xf>
    <xf numFmtId="1" fontId="16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 shrinkToFit="1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66" fontId="6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 vertical="top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9" fillId="0" borderId="0" xfId="44" applyFont="1" applyFill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2" t="s">
        <v>1</v>
      </c>
      <c r="B3" s="132"/>
      <c r="C3" s="132"/>
      <c r="D3" s="132"/>
      <c r="E3" s="132"/>
      <c r="F3" s="132"/>
      <c r="G3" s="8"/>
      <c r="H3" s="8"/>
    </row>
    <row r="4" spans="1:8" ht="15.75">
      <c r="A4"/>
      <c r="B4"/>
      <c r="C4" s="9"/>
      <c r="D4" s="133" t="s">
        <v>2</v>
      </c>
      <c r="E4" s="133"/>
      <c r="F4" s="133"/>
      <c r="G4" s="133"/>
      <c r="H4" s="133"/>
    </row>
    <row r="5" spans="1:8" ht="12.75" customHeight="1" hidden="1">
      <c r="A5" s="134"/>
      <c r="B5" s="134"/>
      <c r="C5" s="134"/>
      <c r="D5" s="134"/>
      <c r="E5" s="134"/>
      <c r="F5" s="134"/>
      <c r="G5" s="134"/>
      <c r="H5" s="134"/>
    </row>
    <row r="6" spans="1:8" ht="34.5" customHeight="1">
      <c r="A6" s="135" t="s">
        <v>3</v>
      </c>
      <c r="B6" s="135" t="s">
        <v>4</v>
      </c>
      <c r="C6" s="136" t="s">
        <v>5</v>
      </c>
      <c r="D6" s="137" t="s">
        <v>6</v>
      </c>
      <c r="E6" s="137" t="s">
        <v>7</v>
      </c>
      <c r="F6" s="136" t="s">
        <v>8</v>
      </c>
      <c r="G6" s="11" t="s">
        <v>9</v>
      </c>
      <c r="H6" s="11" t="s">
        <v>10</v>
      </c>
    </row>
    <row r="7" spans="1:8" ht="15" customHeight="1">
      <c r="A7" s="135"/>
      <c r="B7" s="135"/>
      <c r="C7" s="136"/>
      <c r="D7" s="137"/>
      <c r="E7" s="137"/>
      <c r="F7" s="136"/>
      <c r="G7" s="138" t="s">
        <v>11</v>
      </c>
      <c r="H7" s="138"/>
    </row>
    <row r="8" spans="1:8" ht="15.75" customHeight="1">
      <c r="A8" s="135"/>
      <c r="B8" s="135"/>
      <c r="C8" s="136"/>
      <c r="D8" s="137"/>
      <c r="E8" s="137"/>
      <c r="F8" s="136"/>
      <c r="G8" s="138">
        <v>559.4</v>
      </c>
      <c r="H8" s="138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39" t="s">
        <v>25</v>
      </c>
      <c r="B17" s="139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39" t="s">
        <v>31</v>
      </c>
      <c r="B19" s="139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40" t="s">
        <v>46</v>
      </c>
      <c r="B25" s="140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39" t="s">
        <v>55</v>
      </c>
      <c r="B29" s="139"/>
      <c r="C29" s="139"/>
      <c r="D29" s="139"/>
      <c r="E29" s="139"/>
      <c r="F29" s="139"/>
      <c r="G29" s="21">
        <v>9</v>
      </c>
      <c r="H29" s="16"/>
      <c r="I29" s="28"/>
    </row>
    <row r="30" spans="1:8" ht="15.75" customHeight="1">
      <c r="A30" s="139" t="s">
        <v>56</v>
      </c>
      <c r="B30" s="139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39" t="s">
        <v>31</v>
      </c>
      <c r="B47" s="139"/>
      <c r="C47" s="22"/>
      <c r="D47" s="141" t="s">
        <v>98</v>
      </c>
      <c r="E47" s="141"/>
      <c r="F47" s="141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39" t="s">
        <v>101</v>
      </c>
      <c r="B49" s="139"/>
      <c r="C49" s="22"/>
      <c r="D49" s="141" t="s">
        <v>102</v>
      </c>
      <c r="E49" s="141"/>
      <c r="F49" s="141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39" t="s">
        <v>112</v>
      </c>
      <c r="B53" s="139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39" t="s">
        <v>125</v>
      </c>
      <c r="B57" s="139"/>
      <c r="C57" s="139"/>
      <c r="D57" s="139"/>
      <c r="E57" s="139"/>
      <c r="F57" s="139"/>
      <c r="G57" s="21">
        <v>9</v>
      </c>
      <c r="H57" s="16"/>
      <c r="I57" s="28"/>
    </row>
    <row r="58" spans="1:9" ht="15.75" customHeight="1">
      <c r="A58" s="139" t="s">
        <v>126</v>
      </c>
      <c r="B58" s="139"/>
      <c r="C58" s="22"/>
      <c r="D58" s="141" t="s">
        <v>127</v>
      </c>
      <c r="E58" s="141"/>
      <c r="F58" s="141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39" t="s">
        <v>131</v>
      </c>
      <c r="B60" s="139"/>
      <c r="C60" s="22"/>
      <c r="D60" s="141" t="s">
        <v>132</v>
      </c>
      <c r="E60" s="141"/>
      <c r="F60" s="141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39" t="s">
        <v>137</v>
      </c>
      <c r="B62" s="139"/>
      <c r="C62" s="30"/>
      <c r="D62" s="141" t="s">
        <v>138</v>
      </c>
      <c r="E62" s="141"/>
      <c r="F62" s="141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39" t="s">
        <v>150</v>
      </c>
      <c r="B67" s="139"/>
      <c r="C67" s="22"/>
      <c r="D67" s="141" t="s">
        <v>151</v>
      </c>
      <c r="E67" s="141"/>
      <c r="F67" s="141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42" t="s">
        <v>163</v>
      </c>
      <c r="E73" s="142"/>
      <c r="F73" s="142"/>
      <c r="G73" s="142"/>
      <c r="H73" s="142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39" t="s">
        <v>167</v>
      </c>
      <c r="C77" s="139"/>
      <c r="D77" s="139"/>
      <c r="E77" s="139"/>
      <c r="F77" s="139"/>
      <c r="G77" s="42">
        <v>9</v>
      </c>
      <c r="H77" s="36"/>
    </row>
    <row r="78" spans="1:8" ht="12.75" customHeight="1" hidden="1">
      <c r="A78" s="139" t="s">
        <v>25</v>
      </c>
      <c r="B78" s="139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39" t="s">
        <v>56</v>
      </c>
      <c r="B80" s="139"/>
      <c r="C80" s="22"/>
      <c r="D80" s="141" t="s">
        <v>32</v>
      </c>
      <c r="E80" s="141"/>
      <c r="F80" s="141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39" t="s">
        <v>126</v>
      </c>
      <c r="B93" s="139"/>
      <c r="C93" s="22"/>
      <c r="D93" s="141" t="s">
        <v>47</v>
      </c>
      <c r="E93" s="141"/>
      <c r="F93" s="141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39" t="s">
        <v>131</v>
      </c>
      <c r="B95" s="139"/>
      <c r="C95" s="22"/>
      <c r="D95" s="141" t="s">
        <v>192</v>
      </c>
      <c r="E95" s="141"/>
      <c r="F95" s="141"/>
      <c r="G95" s="21">
        <v>9</v>
      </c>
      <c r="H95" s="21"/>
    </row>
    <row r="96" spans="1:8" ht="12.75" customHeight="1" hidden="1">
      <c r="A96" s="24"/>
      <c r="B96" s="139" t="s">
        <v>193</v>
      </c>
      <c r="C96" s="139"/>
      <c r="D96" s="139"/>
      <c r="E96" s="139"/>
      <c r="F96" s="139"/>
      <c r="G96" s="21">
        <v>9</v>
      </c>
      <c r="H96" s="16"/>
    </row>
    <row r="97" spans="1:8" ht="12.75" customHeight="1" hidden="1">
      <c r="A97" s="139" t="s">
        <v>25</v>
      </c>
      <c r="B97" s="139"/>
      <c r="C97" s="22"/>
      <c r="D97" s="141" t="s">
        <v>194</v>
      </c>
      <c r="E97" s="141"/>
      <c r="F97" s="141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39" t="s">
        <v>31</v>
      </c>
      <c r="B100" s="139"/>
      <c r="C100" s="22"/>
      <c r="D100" s="141" t="s">
        <v>199</v>
      </c>
      <c r="E100" s="141"/>
      <c r="F100" s="141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39" t="s">
        <v>55</v>
      </c>
      <c r="B114" s="139"/>
      <c r="C114" s="139"/>
      <c r="D114" s="139"/>
      <c r="E114" s="139"/>
      <c r="F114" s="139"/>
      <c r="G114" s="21">
        <v>9</v>
      </c>
      <c r="H114" s="16"/>
    </row>
    <row r="115" spans="1:8" ht="12.75" customHeight="1" hidden="1">
      <c r="A115" s="139" t="s">
        <v>25</v>
      </c>
      <c r="B115" s="139"/>
      <c r="C115" s="22"/>
      <c r="D115" s="141" t="s">
        <v>57</v>
      </c>
      <c r="E115" s="141"/>
      <c r="F115" s="141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39" t="s">
        <v>31</v>
      </c>
      <c r="B119" s="139"/>
      <c r="C119" s="22"/>
      <c r="D119" s="141" t="s">
        <v>98</v>
      </c>
      <c r="E119" s="141"/>
      <c r="F119" s="141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39" t="s">
        <v>101</v>
      </c>
      <c r="B130" s="139"/>
      <c r="C130" s="22"/>
      <c r="D130" s="141" t="s">
        <v>102</v>
      </c>
      <c r="E130" s="141"/>
      <c r="F130" s="141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39"/>
      <c r="B136" s="139"/>
      <c r="C136" s="22"/>
      <c r="D136" s="141" t="s">
        <v>113</v>
      </c>
      <c r="E136" s="141"/>
      <c r="F136" s="141"/>
      <c r="G136" s="21">
        <v>9</v>
      </c>
      <c r="H136" s="16"/>
    </row>
    <row r="137" spans="1:8" ht="12.75" customHeight="1" hidden="1">
      <c r="A137" s="139" t="s">
        <v>25</v>
      </c>
      <c r="B137" s="139"/>
      <c r="C137" s="22"/>
      <c r="D137" s="141" t="s">
        <v>113</v>
      </c>
      <c r="E137" s="141"/>
      <c r="F137" s="141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39" t="s">
        <v>125</v>
      </c>
      <c r="B148" s="139"/>
      <c r="C148" s="139"/>
      <c r="D148" s="139"/>
      <c r="E148" s="139"/>
      <c r="F148" s="139"/>
      <c r="G148" s="21">
        <v>9</v>
      </c>
      <c r="H148" s="16"/>
    </row>
    <row r="149" spans="1:8" ht="12.75" customHeight="1" hidden="1">
      <c r="A149" s="139" t="s">
        <v>25</v>
      </c>
      <c r="B149" s="139"/>
      <c r="C149" s="22"/>
      <c r="D149" s="141" t="s">
        <v>127</v>
      </c>
      <c r="E149" s="141"/>
      <c r="F149" s="141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39" t="s">
        <v>101</v>
      </c>
      <c r="B159" s="139"/>
      <c r="C159" s="22"/>
      <c r="D159" s="141" t="s">
        <v>138</v>
      </c>
      <c r="E159" s="141"/>
      <c r="F159" s="141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39" t="s">
        <v>46</v>
      </c>
      <c r="B167" s="139"/>
      <c r="C167" s="22"/>
      <c r="D167" s="141" t="s">
        <v>151</v>
      </c>
      <c r="E167" s="141"/>
      <c r="F167" s="141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39" t="s">
        <v>56</v>
      </c>
      <c r="B176" s="139"/>
      <c r="C176" s="22"/>
      <c r="D176" s="141" t="s">
        <v>297</v>
      </c>
      <c r="E176" s="141"/>
      <c r="F176" s="141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PageLayoutView="0" workbookViewId="0" topLeftCell="C1">
      <pane ySplit="3" topLeftCell="A4" activePane="bottomLeft" state="frozen"/>
      <selection pane="topLeft" activeCell="A1" sqref="A1"/>
      <selection pane="bottomLeft" activeCell="K150" sqref="K150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9.25390625" style="5" customWidth="1"/>
    <col min="9" max="9" width="12.7539062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6.5" customHeight="1">
      <c r="A1" s="49" t="s">
        <v>1</v>
      </c>
      <c r="B1" s="49"/>
      <c r="C1" s="146" t="s">
        <v>449</v>
      </c>
      <c r="D1" s="146"/>
      <c r="E1" s="146"/>
      <c r="F1" s="146"/>
      <c r="G1" s="146"/>
      <c r="H1" s="146"/>
      <c r="I1" s="146"/>
      <c r="J1" s="146"/>
      <c r="K1" s="146"/>
    </row>
    <row r="2" spans="1:11" ht="15.75">
      <c r="A2" s="50"/>
      <c r="B2" s="50"/>
      <c r="C2" s="150" t="s">
        <v>450</v>
      </c>
      <c r="D2" s="150"/>
      <c r="E2" s="150"/>
      <c r="F2" s="150"/>
      <c r="G2" s="150"/>
      <c r="H2" s="150"/>
      <c r="I2" s="150"/>
      <c r="J2" s="150"/>
      <c r="K2" s="150"/>
    </row>
    <row r="3" spans="1:11" s="56" customFormat="1" ht="48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300</v>
      </c>
      <c r="H3" s="55" t="s">
        <v>301</v>
      </c>
      <c r="I3" s="55" t="s">
        <v>302</v>
      </c>
      <c r="J3" s="55" t="s">
        <v>303</v>
      </c>
      <c r="K3" s="55" t="s">
        <v>304</v>
      </c>
    </row>
    <row r="4" spans="1:11" ht="15.75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20.25" customHeight="1">
      <c r="A5" s="57"/>
      <c r="B5" s="57"/>
      <c r="C5" s="147" t="s">
        <v>305</v>
      </c>
      <c r="D5" s="147"/>
      <c r="E5" s="147"/>
      <c r="F5" s="147"/>
      <c r="G5" s="147"/>
      <c r="H5" s="147"/>
      <c r="I5" s="62"/>
      <c r="J5" s="62"/>
      <c r="K5" s="62"/>
    </row>
    <row r="6" spans="1:11" ht="15.75">
      <c r="A6" s="57"/>
      <c r="B6" s="57"/>
      <c r="C6" s="58">
        <v>2</v>
      </c>
      <c r="D6" s="63" t="s">
        <v>306</v>
      </c>
      <c r="E6" s="63" t="s">
        <v>18</v>
      </c>
      <c r="F6" s="60" t="s">
        <v>307</v>
      </c>
      <c r="G6" s="61">
        <v>1</v>
      </c>
      <c r="H6" s="61">
        <v>12</v>
      </c>
      <c r="I6" s="61">
        <f>1200*G6*H6</f>
        <v>14400</v>
      </c>
      <c r="J6" s="61">
        <v>3867.8</v>
      </c>
      <c r="K6" s="64">
        <f>I6/12/3867.8</f>
        <v>0.3102538911008842</v>
      </c>
    </row>
    <row r="7" spans="1:11" ht="15.75">
      <c r="A7" s="65"/>
      <c r="B7" s="65"/>
      <c r="C7" s="58">
        <v>3</v>
      </c>
      <c r="D7" s="66" t="s">
        <v>165</v>
      </c>
      <c r="E7" s="66" t="s">
        <v>16</v>
      </c>
      <c r="F7" s="60" t="s">
        <v>136</v>
      </c>
      <c r="G7" s="61">
        <v>3867.8</v>
      </c>
      <c r="H7" s="61">
        <v>12</v>
      </c>
      <c r="I7" s="58">
        <f>1.25*3867.8*12</f>
        <v>58017</v>
      </c>
      <c r="J7" s="61">
        <v>3867.8</v>
      </c>
      <c r="K7" s="64">
        <f aca="true" t="shared" si="0" ref="K7:K74">I7/12/3867.8</f>
        <v>1.25</v>
      </c>
    </row>
    <row r="8" spans="1:11" ht="15.75">
      <c r="A8" s="65"/>
      <c r="B8" s="65"/>
      <c r="C8" s="58">
        <v>4</v>
      </c>
      <c r="D8" s="66" t="s">
        <v>17</v>
      </c>
      <c r="E8" s="66" t="s">
        <v>18</v>
      </c>
      <c r="F8" s="60" t="s">
        <v>136</v>
      </c>
      <c r="G8" s="61">
        <v>3867.8</v>
      </c>
      <c r="H8" s="61">
        <v>12</v>
      </c>
      <c r="I8" s="58">
        <f>G8*1.5*H8</f>
        <v>69620.40000000001</v>
      </c>
      <c r="J8" s="61">
        <v>3867.8</v>
      </c>
      <c r="K8" s="64">
        <f t="shared" si="0"/>
        <v>1.5000000000000002</v>
      </c>
    </row>
    <row r="9" spans="1:11" ht="15.75" hidden="1">
      <c r="A9" s="65"/>
      <c r="B9" s="65"/>
      <c r="C9" s="58">
        <v>5</v>
      </c>
      <c r="D9" s="67" t="s">
        <v>308</v>
      </c>
      <c r="E9" s="67" t="s">
        <v>18</v>
      </c>
      <c r="F9" s="60" t="s">
        <v>309</v>
      </c>
      <c r="G9" s="61"/>
      <c r="H9" s="61"/>
      <c r="I9" s="58"/>
      <c r="J9" s="61">
        <v>3867.8</v>
      </c>
      <c r="K9" s="64">
        <f t="shared" si="0"/>
        <v>0</v>
      </c>
    </row>
    <row r="10" spans="1:11" ht="15.75">
      <c r="A10" s="65"/>
      <c r="B10" s="65"/>
      <c r="C10" s="58">
        <v>6</v>
      </c>
      <c r="D10" s="66" t="s">
        <v>310</v>
      </c>
      <c r="E10" s="67" t="s">
        <v>18</v>
      </c>
      <c r="F10" s="60" t="s">
        <v>311</v>
      </c>
      <c r="G10" s="61">
        <v>1</v>
      </c>
      <c r="H10" s="61">
        <v>12</v>
      </c>
      <c r="I10" s="58">
        <f>1.04*12*3867.8</f>
        <v>48270.14400000001</v>
      </c>
      <c r="J10" s="61">
        <v>3867.8</v>
      </c>
      <c r="K10" s="64">
        <f t="shared" si="0"/>
        <v>1.04</v>
      </c>
    </row>
    <row r="11" spans="1:11" ht="15.75">
      <c r="A11" s="65"/>
      <c r="B11" s="65"/>
      <c r="C11" s="58">
        <v>7</v>
      </c>
      <c r="D11" s="66" t="s">
        <v>20</v>
      </c>
      <c r="E11" s="66" t="s">
        <v>21</v>
      </c>
      <c r="F11" s="60" t="s">
        <v>136</v>
      </c>
      <c r="G11" s="58">
        <v>1623.4</v>
      </c>
      <c r="H11" s="61">
        <v>12</v>
      </c>
      <c r="I11" s="58">
        <f>G11*H11*0.26</f>
        <v>5065.008000000001</v>
      </c>
      <c r="J11" s="61">
        <v>3867.8</v>
      </c>
      <c r="K11" s="64">
        <f t="shared" si="0"/>
        <v>0.10912766947618803</v>
      </c>
    </row>
    <row r="12" spans="1:11" ht="15.75">
      <c r="A12" s="65"/>
      <c r="B12" s="65"/>
      <c r="C12" s="58">
        <v>8</v>
      </c>
      <c r="D12" s="66" t="s">
        <v>312</v>
      </c>
      <c r="E12" s="67" t="s">
        <v>23</v>
      </c>
      <c r="F12" s="60" t="s">
        <v>136</v>
      </c>
      <c r="G12" s="58">
        <v>623</v>
      </c>
      <c r="H12" s="61">
        <v>1</v>
      </c>
      <c r="I12" s="58">
        <v>623</v>
      </c>
      <c r="J12" s="61">
        <v>3867.8</v>
      </c>
      <c r="K12" s="64">
        <f t="shared" si="0"/>
        <v>0.013422789871934087</v>
      </c>
    </row>
    <row r="13" spans="1:11" ht="15.75">
      <c r="A13" s="65"/>
      <c r="B13" s="65"/>
      <c r="C13" s="58">
        <v>9</v>
      </c>
      <c r="D13" s="66" t="s">
        <v>313</v>
      </c>
      <c r="E13" s="67" t="s">
        <v>18</v>
      </c>
      <c r="F13" s="60" t="s">
        <v>311</v>
      </c>
      <c r="G13" s="61">
        <v>2</v>
      </c>
      <c r="H13" s="61">
        <v>12</v>
      </c>
      <c r="I13" s="58">
        <f>J13*2.64*12</f>
        <v>122531.90400000001</v>
      </c>
      <c r="J13" s="61">
        <v>3867.8</v>
      </c>
      <c r="K13" s="64">
        <f t="shared" si="0"/>
        <v>2.64</v>
      </c>
    </row>
    <row r="14" spans="1:11" ht="15.75">
      <c r="A14" s="65"/>
      <c r="B14" s="65"/>
      <c r="C14" s="58">
        <v>10</v>
      </c>
      <c r="D14" s="66" t="s">
        <v>314</v>
      </c>
      <c r="E14" s="67" t="s">
        <v>23</v>
      </c>
      <c r="F14" s="60" t="s">
        <v>315</v>
      </c>
      <c r="G14" s="61">
        <v>2</v>
      </c>
      <c r="H14" s="61">
        <v>1</v>
      </c>
      <c r="I14" s="58">
        <f>G14*2400</f>
        <v>4800</v>
      </c>
      <c r="J14" s="61">
        <v>3867.8</v>
      </c>
      <c r="K14" s="64">
        <f t="shared" si="0"/>
        <v>0.10341796370029474</v>
      </c>
    </row>
    <row r="15" spans="1:11" ht="15.75">
      <c r="A15" s="65"/>
      <c r="B15" s="65"/>
      <c r="C15" s="58">
        <v>11</v>
      </c>
      <c r="D15" s="66" t="s">
        <v>316</v>
      </c>
      <c r="E15" s="67" t="s">
        <v>18</v>
      </c>
      <c r="F15" s="60" t="s">
        <v>136</v>
      </c>
      <c r="G15" s="61">
        <v>3867.8</v>
      </c>
      <c r="H15" s="61">
        <v>12</v>
      </c>
      <c r="I15" s="58">
        <f>G15*1.85*H15</f>
        <v>85865.16</v>
      </c>
      <c r="J15" s="61">
        <v>3867.8</v>
      </c>
      <c r="K15" s="64">
        <f t="shared" si="0"/>
        <v>1.85</v>
      </c>
    </row>
    <row r="16" spans="1:11" ht="15.75" customHeight="1">
      <c r="A16" s="143"/>
      <c r="B16" s="143"/>
      <c r="C16" s="145" t="s">
        <v>318</v>
      </c>
      <c r="D16" s="145"/>
      <c r="E16" s="145"/>
      <c r="F16" s="145"/>
      <c r="G16" s="145"/>
      <c r="H16" s="145"/>
      <c r="I16" s="70"/>
      <c r="J16" s="61"/>
      <c r="K16" s="64"/>
    </row>
    <row r="17" spans="1:11" ht="15.75">
      <c r="A17" s="65"/>
      <c r="B17" s="65"/>
      <c r="C17" s="58">
        <v>12</v>
      </c>
      <c r="D17" s="67" t="s">
        <v>451</v>
      </c>
      <c r="E17" s="67" t="s">
        <v>13</v>
      </c>
      <c r="F17" s="60" t="s">
        <v>319</v>
      </c>
      <c r="G17" s="61">
        <v>82</v>
      </c>
      <c r="H17" s="61">
        <v>2</v>
      </c>
      <c r="I17" s="58">
        <f>G17*20.41*H17</f>
        <v>3347.2400000000002</v>
      </c>
      <c r="J17" s="61">
        <v>3867.8</v>
      </c>
      <c r="K17" s="64">
        <f t="shared" si="0"/>
        <v>0.07211765517003636</v>
      </c>
    </row>
    <row r="18" spans="1:11" ht="15.75" hidden="1">
      <c r="A18" s="65"/>
      <c r="B18" s="65"/>
      <c r="C18" s="58">
        <v>13</v>
      </c>
      <c r="D18" s="67" t="s">
        <v>452</v>
      </c>
      <c r="E18" s="67" t="s">
        <v>13</v>
      </c>
      <c r="F18" s="60" t="s">
        <v>319</v>
      </c>
      <c r="G18" s="61"/>
      <c r="H18" s="61"/>
      <c r="I18" s="58">
        <f>G18*59.68*H18</f>
        <v>0</v>
      </c>
      <c r="J18" s="61">
        <v>3868.8</v>
      </c>
      <c r="K18" s="64">
        <f>I18/12/3867.8</f>
        <v>0</v>
      </c>
    </row>
    <row r="19" spans="1:11" ht="15.75">
      <c r="A19" s="71"/>
      <c r="B19" s="71"/>
      <c r="C19" s="72"/>
      <c r="D19" s="73" t="s">
        <v>47</v>
      </c>
      <c r="E19" s="74"/>
      <c r="F19" s="75"/>
      <c r="G19" s="61"/>
      <c r="H19" s="61"/>
      <c r="I19" s="76"/>
      <c r="J19" s="61"/>
      <c r="K19" s="64"/>
    </row>
    <row r="20" spans="1:11" ht="1.5" customHeight="1">
      <c r="A20" s="71">
        <v>918</v>
      </c>
      <c r="B20" s="71" t="s">
        <v>50</v>
      </c>
      <c r="C20" s="58">
        <v>12</v>
      </c>
      <c r="D20" s="74" t="s">
        <v>320</v>
      </c>
      <c r="E20" s="74" t="s">
        <v>68</v>
      </c>
      <c r="F20" s="75" t="s">
        <v>136</v>
      </c>
      <c r="G20" s="61"/>
      <c r="H20" s="61">
        <v>1</v>
      </c>
      <c r="I20" s="58">
        <f>G20*1202.36</f>
        <v>0</v>
      </c>
      <c r="J20" s="61">
        <v>3867.8</v>
      </c>
      <c r="K20" s="64">
        <f t="shared" si="0"/>
        <v>0</v>
      </c>
    </row>
    <row r="21" spans="1:11" ht="20.25" customHeight="1" hidden="1">
      <c r="A21" s="71"/>
      <c r="B21" s="71"/>
      <c r="C21" s="72">
        <v>13</v>
      </c>
      <c r="D21" s="74" t="s">
        <v>321</v>
      </c>
      <c r="E21" s="74" t="s">
        <v>68</v>
      </c>
      <c r="F21" s="75" t="s">
        <v>322</v>
      </c>
      <c r="G21" s="61">
        <v>6</v>
      </c>
      <c r="H21" s="58">
        <v>1</v>
      </c>
      <c r="I21" s="58">
        <f>G21*H21*24.88</f>
        <v>149.28</v>
      </c>
      <c r="J21" s="61">
        <v>3867.8</v>
      </c>
      <c r="K21" s="64">
        <f t="shared" si="0"/>
        <v>0.003216298671079166</v>
      </c>
    </row>
    <row r="22" spans="1:11" ht="18" customHeight="1" hidden="1">
      <c r="A22" s="68"/>
      <c r="B22" s="77"/>
      <c r="C22" s="72">
        <v>14</v>
      </c>
      <c r="D22" s="78" t="s">
        <v>323</v>
      </c>
      <c r="E22" s="74" t="s">
        <v>68</v>
      </c>
      <c r="F22" s="75" t="s">
        <v>322</v>
      </c>
      <c r="G22" s="61"/>
      <c r="H22" s="79">
        <v>6</v>
      </c>
      <c r="I22" s="80">
        <f>26.22*10*G22*H22</f>
        <v>0</v>
      </c>
      <c r="J22" s="61">
        <v>3867.8</v>
      </c>
      <c r="K22" s="64">
        <f t="shared" si="0"/>
        <v>0</v>
      </c>
    </row>
    <row r="23" spans="1:11" ht="18" customHeight="1" hidden="1">
      <c r="A23" s="68"/>
      <c r="B23" s="77"/>
      <c r="C23" s="72">
        <v>15</v>
      </c>
      <c r="D23" s="78" t="s">
        <v>324</v>
      </c>
      <c r="E23" s="74" t="s">
        <v>68</v>
      </c>
      <c r="F23" s="75" t="s">
        <v>136</v>
      </c>
      <c r="G23" s="61">
        <f>6+8</f>
        <v>14</v>
      </c>
      <c r="H23" s="79">
        <v>4</v>
      </c>
      <c r="I23" s="80">
        <f>G23*H23*15.94</f>
        <v>892.64</v>
      </c>
      <c r="J23" s="61">
        <v>3867.8</v>
      </c>
      <c r="K23" s="64">
        <f t="shared" si="0"/>
        <v>0.019232293982798146</v>
      </c>
    </row>
    <row r="24" spans="1:11" ht="15.75">
      <c r="A24" s="68"/>
      <c r="B24" s="77"/>
      <c r="C24" s="69"/>
      <c r="D24" s="81" t="s">
        <v>325</v>
      </c>
      <c r="E24" s="69"/>
      <c r="F24" s="69"/>
      <c r="G24" s="61"/>
      <c r="H24" s="69"/>
      <c r="I24" s="82"/>
      <c r="J24" s="61"/>
      <c r="K24" s="64"/>
    </row>
    <row r="25" spans="1:11" ht="27" customHeight="1" hidden="1">
      <c r="A25" s="71">
        <v>1</v>
      </c>
      <c r="B25" s="71" t="s">
        <v>27</v>
      </c>
      <c r="C25" s="72">
        <v>17</v>
      </c>
      <c r="D25" s="74" t="s">
        <v>326</v>
      </c>
      <c r="E25" s="74" t="s">
        <v>327</v>
      </c>
      <c r="F25" s="75" t="s">
        <v>328</v>
      </c>
      <c r="G25" s="61"/>
      <c r="H25" s="61"/>
      <c r="I25" s="58">
        <f>G25*188.16</f>
        <v>0</v>
      </c>
      <c r="J25" s="61">
        <v>3867.8</v>
      </c>
      <c r="K25" s="64">
        <f t="shared" si="0"/>
        <v>0</v>
      </c>
    </row>
    <row r="26" spans="1:11" ht="27" customHeight="1" hidden="1">
      <c r="A26" s="71"/>
      <c r="B26" s="71"/>
      <c r="C26" s="72">
        <v>16</v>
      </c>
      <c r="D26" s="74" t="s">
        <v>444</v>
      </c>
      <c r="E26" s="74" t="s">
        <v>327</v>
      </c>
      <c r="F26" s="75" t="s">
        <v>136</v>
      </c>
      <c r="G26" s="61"/>
      <c r="H26" s="61"/>
      <c r="I26" s="58">
        <f>G26*497.5</f>
        <v>0</v>
      </c>
      <c r="J26" s="61">
        <v>3867.8</v>
      </c>
      <c r="K26" s="64">
        <f t="shared" si="0"/>
        <v>0</v>
      </c>
    </row>
    <row r="27" spans="1:11" ht="27" customHeight="1">
      <c r="A27" s="71"/>
      <c r="B27" s="71"/>
      <c r="C27" s="72"/>
      <c r="D27" s="74" t="s">
        <v>460</v>
      </c>
      <c r="E27" s="74" t="s">
        <v>327</v>
      </c>
      <c r="F27" s="75" t="s">
        <v>288</v>
      </c>
      <c r="G27" s="61">
        <v>0.75</v>
      </c>
      <c r="H27" s="61"/>
      <c r="I27" s="58">
        <f>G27*1621.535</f>
        <v>1216.1512500000001</v>
      </c>
      <c r="J27" s="61">
        <v>3867.8</v>
      </c>
      <c r="K27" s="64">
        <f t="shared" si="0"/>
        <v>0.02620247621386835</v>
      </c>
    </row>
    <row r="28" spans="1:11" ht="16.5" customHeight="1">
      <c r="A28" s="71"/>
      <c r="B28" s="71"/>
      <c r="C28" s="72"/>
      <c r="D28" s="73" t="s">
        <v>32</v>
      </c>
      <c r="E28" s="74"/>
      <c r="F28" s="75"/>
      <c r="G28" s="61"/>
      <c r="H28" s="61"/>
      <c r="I28" s="76"/>
      <c r="J28" s="61"/>
      <c r="K28" s="64"/>
    </row>
    <row r="29" spans="1:11" ht="30" customHeight="1">
      <c r="A29" s="71">
        <v>5</v>
      </c>
      <c r="B29" s="71" t="s">
        <v>38</v>
      </c>
      <c r="C29" s="72">
        <v>17</v>
      </c>
      <c r="D29" s="74" t="s">
        <v>39</v>
      </c>
      <c r="E29" s="74" t="s">
        <v>60</v>
      </c>
      <c r="F29" s="75" t="s">
        <v>40</v>
      </c>
      <c r="G29" s="61">
        <f>0.07+0.13</f>
        <v>0.2</v>
      </c>
      <c r="H29" s="61"/>
      <c r="I29" s="58">
        <f>G29*577.5*10</f>
        <v>1155</v>
      </c>
      <c r="J29" s="61">
        <v>3867.8</v>
      </c>
      <c r="K29" s="64">
        <f t="shared" si="0"/>
        <v>0.02488494751538342</v>
      </c>
    </row>
    <row r="30" spans="1:11" ht="0.75" customHeight="1">
      <c r="A30" s="71"/>
      <c r="B30" s="71"/>
      <c r="C30" s="72">
        <v>18</v>
      </c>
      <c r="D30" s="74" t="s">
        <v>329</v>
      </c>
      <c r="E30" s="74" t="s">
        <v>60</v>
      </c>
      <c r="F30" s="75" t="s">
        <v>170</v>
      </c>
      <c r="G30" s="61"/>
      <c r="H30" s="61"/>
      <c r="I30" s="58">
        <f>G30*131.742</f>
        <v>0</v>
      </c>
      <c r="J30" s="61">
        <v>3867.8</v>
      </c>
      <c r="K30" s="64">
        <f t="shared" si="0"/>
        <v>0</v>
      </c>
    </row>
    <row r="31" spans="1:11" ht="22.5" hidden="1">
      <c r="A31" s="71"/>
      <c r="B31" s="71"/>
      <c r="C31" s="72">
        <v>19</v>
      </c>
      <c r="D31" s="74" t="s">
        <v>330</v>
      </c>
      <c r="E31" s="74" t="s">
        <v>60</v>
      </c>
      <c r="F31" s="75" t="s">
        <v>136</v>
      </c>
      <c r="G31" s="61"/>
      <c r="H31" s="61">
        <v>2</v>
      </c>
      <c r="I31" s="58">
        <f>103.56*G31*H31</f>
        <v>0</v>
      </c>
      <c r="J31" s="61">
        <v>3867.8</v>
      </c>
      <c r="K31" s="64">
        <f t="shared" si="0"/>
        <v>0</v>
      </c>
    </row>
    <row r="32" spans="1:11" ht="22.5" hidden="1">
      <c r="A32" s="71"/>
      <c r="B32" s="71"/>
      <c r="C32" s="72">
        <v>20</v>
      </c>
      <c r="D32" s="74" t="s">
        <v>331</v>
      </c>
      <c r="E32" s="74" t="s">
        <v>60</v>
      </c>
      <c r="F32" s="75" t="s">
        <v>332</v>
      </c>
      <c r="G32" s="61"/>
      <c r="H32" s="61"/>
      <c r="I32" s="58">
        <f>G32*108.42</f>
        <v>0</v>
      </c>
      <c r="J32" s="61">
        <v>3867.8</v>
      </c>
      <c r="K32" s="64">
        <f t="shared" si="0"/>
        <v>0</v>
      </c>
    </row>
    <row r="33" spans="1:11" ht="21.75" customHeight="1">
      <c r="A33" s="71"/>
      <c r="B33" s="71"/>
      <c r="C33" s="72"/>
      <c r="D33" s="74" t="s">
        <v>458</v>
      </c>
      <c r="E33" s="74" t="s">
        <v>60</v>
      </c>
      <c r="F33" s="75" t="s">
        <v>332</v>
      </c>
      <c r="G33" s="61">
        <v>1</v>
      </c>
      <c r="H33" s="61"/>
      <c r="I33" s="58">
        <f>G33*7048.78</f>
        <v>7048.78</v>
      </c>
      <c r="J33" s="61">
        <v>3867.8</v>
      </c>
      <c r="K33" s="64">
        <f t="shared" si="0"/>
        <v>0.15186884878570073</v>
      </c>
    </row>
    <row r="34" spans="1:11" ht="22.5" hidden="1">
      <c r="A34" s="71"/>
      <c r="B34" s="71"/>
      <c r="C34" s="72">
        <v>21</v>
      </c>
      <c r="D34" s="74" t="s">
        <v>435</v>
      </c>
      <c r="E34" s="74" t="s">
        <v>327</v>
      </c>
      <c r="F34" s="75" t="s">
        <v>136</v>
      </c>
      <c r="G34" s="61"/>
      <c r="H34" s="61"/>
      <c r="I34" s="58">
        <f>G34*180.36</f>
        <v>0</v>
      </c>
      <c r="J34" s="61">
        <v>3867.8</v>
      </c>
      <c r="K34" s="64">
        <f t="shared" si="0"/>
        <v>0</v>
      </c>
    </row>
    <row r="35" spans="1:11" ht="23.25" customHeight="1">
      <c r="A35" s="71"/>
      <c r="B35" s="71"/>
      <c r="C35" s="72">
        <v>22</v>
      </c>
      <c r="D35" s="74" t="s">
        <v>333</v>
      </c>
      <c r="E35" s="74" t="s">
        <v>60</v>
      </c>
      <c r="F35" s="75" t="s">
        <v>332</v>
      </c>
      <c r="G35" s="61">
        <f>1+1</f>
        <v>2</v>
      </c>
      <c r="H35" s="61"/>
      <c r="I35" s="58">
        <f>G35*411.41</f>
        <v>822.82</v>
      </c>
      <c r="J35" s="61">
        <v>3867.8</v>
      </c>
      <c r="K35" s="64">
        <f t="shared" si="0"/>
        <v>0.017727993519140943</v>
      </c>
    </row>
    <row r="36" spans="1:11" ht="0.75" customHeight="1">
      <c r="A36" s="71"/>
      <c r="B36" s="71"/>
      <c r="C36" s="72"/>
      <c r="D36" s="73" t="s">
        <v>334</v>
      </c>
      <c r="E36" s="74"/>
      <c r="F36" s="75"/>
      <c r="G36" s="61"/>
      <c r="H36" s="61"/>
      <c r="I36" s="83"/>
      <c r="J36" s="61"/>
      <c r="K36" s="64"/>
    </row>
    <row r="37" spans="1:11" ht="22.5" hidden="1">
      <c r="A37" s="71"/>
      <c r="B37" s="71"/>
      <c r="C37" s="72">
        <v>23</v>
      </c>
      <c r="D37" s="74" t="s">
        <v>445</v>
      </c>
      <c r="E37" s="74" t="s">
        <v>327</v>
      </c>
      <c r="F37" s="75" t="s">
        <v>136</v>
      </c>
      <c r="G37" s="61"/>
      <c r="H37" s="61">
        <v>1</v>
      </c>
      <c r="I37" s="58">
        <f>G37*19.23</f>
        <v>0</v>
      </c>
      <c r="J37" s="61">
        <v>3867.8</v>
      </c>
      <c r="K37" s="64">
        <f t="shared" si="0"/>
        <v>0</v>
      </c>
    </row>
    <row r="38" spans="1:11" ht="22.5" hidden="1">
      <c r="A38" s="71"/>
      <c r="B38" s="71"/>
      <c r="C38" s="72"/>
      <c r="D38" s="74" t="s">
        <v>335</v>
      </c>
      <c r="E38" s="74" t="s">
        <v>60</v>
      </c>
      <c r="F38" s="75" t="s">
        <v>136</v>
      </c>
      <c r="G38" s="61"/>
      <c r="H38" s="61">
        <v>1</v>
      </c>
      <c r="I38" s="58"/>
      <c r="J38" s="61">
        <v>3867.8</v>
      </c>
      <c r="K38" s="64">
        <f t="shared" si="0"/>
        <v>0</v>
      </c>
    </row>
    <row r="39" spans="1:11" ht="22.5" hidden="1">
      <c r="A39" s="71"/>
      <c r="B39" s="71"/>
      <c r="C39" s="72"/>
      <c r="D39" s="74" t="s">
        <v>336</v>
      </c>
      <c r="E39" s="74" t="s">
        <v>327</v>
      </c>
      <c r="F39" s="75" t="s">
        <v>311</v>
      </c>
      <c r="G39" s="61"/>
      <c r="H39" s="61"/>
      <c r="I39" s="58"/>
      <c r="J39" s="61">
        <v>3867.8</v>
      </c>
      <c r="K39" s="64">
        <f t="shared" si="0"/>
        <v>0</v>
      </c>
    </row>
    <row r="40" spans="1:11" ht="22.5" hidden="1">
      <c r="A40" s="71"/>
      <c r="B40" s="71"/>
      <c r="C40" s="72">
        <v>24</v>
      </c>
      <c r="D40" s="74" t="s">
        <v>434</v>
      </c>
      <c r="E40" s="74" t="s">
        <v>327</v>
      </c>
      <c r="F40" s="75" t="s">
        <v>136</v>
      </c>
      <c r="G40" s="61"/>
      <c r="H40" s="61"/>
      <c r="I40" s="58">
        <f>G40*283.51</f>
        <v>0</v>
      </c>
      <c r="J40" s="61">
        <v>3867.8</v>
      </c>
      <c r="K40" s="64">
        <f t="shared" si="0"/>
        <v>0</v>
      </c>
    </row>
    <row r="41" spans="1:11" ht="15.75" hidden="1">
      <c r="A41" s="71"/>
      <c r="B41" s="71"/>
      <c r="C41" s="72"/>
      <c r="D41" s="73" t="s">
        <v>337</v>
      </c>
      <c r="E41" s="74"/>
      <c r="F41" s="75"/>
      <c r="G41" s="61"/>
      <c r="H41" s="61"/>
      <c r="I41" s="58"/>
      <c r="J41" s="61"/>
      <c r="K41" s="64"/>
    </row>
    <row r="42" spans="1:11" ht="21.75" customHeight="1" hidden="1">
      <c r="A42" s="71"/>
      <c r="B42" s="71"/>
      <c r="C42" s="72">
        <v>25</v>
      </c>
      <c r="D42" s="74" t="s">
        <v>338</v>
      </c>
      <c r="E42" s="74" t="s">
        <v>60</v>
      </c>
      <c r="F42" s="75" t="s">
        <v>136</v>
      </c>
      <c r="G42" s="61"/>
      <c r="H42" s="61">
        <v>1</v>
      </c>
      <c r="I42" s="58">
        <f>G42*287.3</f>
        <v>0</v>
      </c>
      <c r="J42" s="61">
        <v>3867.8</v>
      </c>
      <c r="K42" s="64">
        <f t="shared" si="0"/>
        <v>0</v>
      </c>
    </row>
    <row r="43" spans="1:11" ht="22.5" hidden="1">
      <c r="A43" s="71"/>
      <c r="B43" s="71"/>
      <c r="C43" s="72"/>
      <c r="D43" s="74" t="s">
        <v>339</v>
      </c>
      <c r="E43" s="74" t="s">
        <v>327</v>
      </c>
      <c r="F43" s="75" t="s">
        <v>136</v>
      </c>
      <c r="G43" s="61"/>
      <c r="H43" s="61"/>
      <c r="I43" s="58"/>
      <c r="J43" s="61">
        <v>3867.8</v>
      </c>
      <c r="K43" s="64">
        <f t="shared" si="0"/>
        <v>0</v>
      </c>
    </row>
    <row r="44" spans="1:11" ht="22.5" customHeight="1">
      <c r="A44" s="71"/>
      <c r="B44" s="71"/>
      <c r="C44" s="151" t="s">
        <v>340</v>
      </c>
      <c r="D44" s="151"/>
      <c r="E44" s="151"/>
      <c r="F44" s="151"/>
      <c r="G44" s="151"/>
      <c r="H44" s="151"/>
      <c r="I44" s="85"/>
      <c r="J44" s="61"/>
      <c r="K44" s="64"/>
    </row>
    <row r="45" spans="1:11" ht="18" customHeight="1">
      <c r="A45" s="71"/>
      <c r="B45" s="71"/>
      <c r="C45" s="72"/>
      <c r="D45" s="73" t="s">
        <v>341</v>
      </c>
      <c r="E45" s="84"/>
      <c r="F45" s="84"/>
      <c r="G45" s="84"/>
      <c r="H45" s="84"/>
      <c r="I45" s="84"/>
      <c r="J45" s="61"/>
      <c r="K45" s="64"/>
    </row>
    <row r="46" spans="1:11" ht="15.75" hidden="1">
      <c r="A46" s="71"/>
      <c r="B46" s="71"/>
      <c r="C46" s="72">
        <v>23</v>
      </c>
      <c r="D46" s="74" t="s">
        <v>342</v>
      </c>
      <c r="E46" s="74" t="s">
        <v>21</v>
      </c>
      <c r="F46" s="75" t="s">
        <v>309</v>
      </c>
      <c r="G46" s="61">
        <v>0</v>
      </c>
      <c r="H46" s="61">
        <v>3</v>
      </c>
      <c r="I46" s="83">
        <v>0</v>
      </c>
      <c r="J46" s="61">
        <v>3867.8</v>
      </c>
      <c r="K46" s="64">
        <f t="shared" si="0"/>
        <v>0</v>
      </c>
    </row>
    <row r="47" spans="1:11" ht="15.75">
      <c r="A47" s="71">
        <v>20</v>
      </c>
      <c r="B47" s="71"/>
      <c r="C47" s="72">
        <v>26</v>
      </c>
      <c r="D47" s="74" t="s">
        <v>453</v>
      </c>
      <c r="E47" s="74" t="s">
        <v>343</v>
      </c>
      <c r="F47" s="75" t="s">
        <v>332</v>
      </c>
      <c r="G47" s="61">
        <v>3</v>
      </c>
      <c r="H47" s="61">
        <v>12</v>
      </c>
      <c r="I47" s="58">
        <f>G47*H47*22.798</f>
        <v>820.728</v>
      </c>
      <c r="J47" s="61">
        <v>3867.8</v>
      </c>
      <c r="K47" s="64">
        <f t="shared" si="0"/>
        <v>0.017682920523294895</v>
      </c>
    </row>
    <row r="48" spans="1:11" ht="45" customHeight="1">
      <c r="A48" s="143" t="s">
        <v>56</v>
      </c>
      <c r="B48" s="143"/>
      <c r="C48" s="72">
        <v>27</v>
      </c>
      <c r="D48" s="78" t="s">
        <v>344</v>
      </c>
      <c r="E48" s="74" t="s">
        <v>345</v>
      </c>
      <c r="F48" s="61" t="s">
        <v>309</v>
      </c>
      <c r="G48" s="61">
        <v>83</v>
      </c>
      <c r="H48" s="61">
        <v>4</v>
      </c>
      <c r="I48" s="58">
        <f>(107.61+538.05+3867.8)*2</f>
        <v>9026.92</v>
      </c>
      <c r="J48" s="61">
        <v>3867.8</v>
      </c>
      <c r="K48" s="64">
        <f t="shared" si="0"/>
        <v>0.19448868435113845</v>
      </c>
    </row>
    <row r="49" spans="1:11" ht="25.5" customHeight="1">
      <c r="A49" s="68"/>
      <c r="B49" s="68"/>
      <c r="C49" s="72">
        <v>28</v>
      </c>
      <c r="D49" s="78" t="s">
        <v>428</v>
      </c>
      <c r="E49" s="74" t="s">
        <v>60</v>
      </c>
      <c r="F49" s="61" t="s">
        <v>309</v>
      </c>
      <c r="G49" s="61">
        <v>83</v>
      </c>
      <c r="H49" s="61">
        <v>2</v>
      </c>
      <c r="I49" s="58">
        <f>G49*43.33*H49</f>
        <v>7192.78</v>
      </c>
      <c r="J49" s="61">
        <v>3867.8</v>
      </c>
      <c r="K49" s="64">
        <f t="shared" si="0"/>
        <v>0.15497138769670957</v>
      </c>
    </row>
    <row r="50" spans="1:11" ht="25.5" customHeight="1">
      <c r="A50" s="68"/>
      <c r="B50" s="68"/>
      <c r="C50" s="72"/>
      <c r="D50" s="78" t="s">
        <v>456</v>
      </c>
      <c r="E50" s="74" t="s">
        <v>60</v>
      </c>
      <c r="F50" s="61" t="s">
        <v>457</v>
      </c>
      <c r="G50" s="61">
        <v>7</v>
      </c>
      <c r="H50" s="61"/>
      <c r="I50" s="58">
        <f>G50*190.487*10</f>
        <v>13334.089999999998</v>
      </c>
      <c r="J50" s="61">
        <v>3867.8</v>
      </c>
      <c r="K50" s="64">
        <f t="shared" si="0"/>
        <v>0.2872884240825964</v>
      </c>
    </row>
    <row r="51" spans="1:11" ht="42" customHeight="1" hidden="1">
      <c r="A51" s="68"/>
      <c r="B51" s="68"/>
      <c r="C51" s="72">
        <v>29</v>
      </c>
      <c r="D51" s="78" t="s">
        <v>431</v>
      </c>
      <c r="E51" s="74" t="s">
        <v>60</v>
      </c>
      <c r="F51" s="61" t="s">
        <v>346</v>
      </c>
      <c r="G51" s="61"/>
      <c r="H51" s="61"/>
      <c r="I51" s="58">
        <f>G51*2090.26</f>
        <v>0</v>
      </c>
      <c r="J51" s="61">
        <v>3867.8</v>
      </c>
      <c r="K51" s="64">
        <f t="shared" si="0"/>
        <v>0</v>
      </c>
    </row>
    <row r="52" spans="1:11" ht="27" customHeight="1" hidden="1">
      <c r="A52" s="68"/>
      <c r="B52" s="68"/>
      <c r="C52" s="72">
        <v>30</v>
      </c>
      <c r="D52" s="78" t="s">
        <v>347</v>
      </c>
      <c r="E52" s="74" t="s">
        <v>60</v>
      </c>
      <c r="F52" s="61" t="s">
        <v>346</v>
      </c>
      <c r="G52" s="61"/>
      <c r="H52" s="61"/>
      <c r="I52" s="58">
        <f>G52*1191.47</f>
        <v>0</v>
      </c>
      <c r="J52" s="61">
        <v>3867.8</v>
      </c>
      <c r="K52" s="64">
        <f t="shared" si="0"/>
        <v>0</v>
      </c>
    </row>
    <row r="53" spans="1:11" ht="29.25" customHeight="1" hidden="1">
      <c r="A53" s="68"/>
      <c r="B53" s="68"/>
      <c r="C53" s="72">
        <v>31</v>
      </c>
      <c r="D53" s="78" t="s">
        <v>348</v>
      </c>
      <c r="E53" s="74" t="s">
        <v>60</v>
      </c>
      <c r="F53" s="61" t="s">
        <v>346</v>
      </c>
      <c r="G53" s="61"/>
      <c r="H53" s="61"/>
      <c r="I53" s="58">
        <f>G53*1542.93</f>
        <v>0</v>
      </c>
      <c r="J53" s="61">
        <v>3867.8</v>
      </c>
      <c r="K53" s="64">
        <f t="shared" si="0"/>
        <v>0</v>
      </c>
    </row>
    <row r="54" spans="1:11" ht="29.25" customHeight="1" hidden="1">
      <c r="A54" s="68"/>
      <c r="B54" s="68"/>
      <c r="C54" s="72">
        <v>32</v>
      </c>
      <c r="D54" s="78" t="s">
        <v>432</v>
      </c>
      <c r="E54" s="74" t="s">
        <v>60</v>
      </c>
      <c r="F54" s="61" t="s">
        <v>346</v>
      </c>
      <c r="G54" s="61"/>
      <c r="H54" s="61"/>
      <c r="I54" s="58">
        <f>G54*1542.93</f>
        <v>0</v>
      </c>
      <c r="J54" s="61">
        <v>3867.8</v>
      </c>
      <c r="K54" s="64">
        <f t="shared" si="0"/>
        <v>0</v>
      </c>
    </row>
    <row r="55" spans="1:11" ht="29.25" customHeight="1" hidden="1">
      <c r="A55" s="68"/>
      <c r="B55" s="68"/>
      <c r="C55" s="72">
        <v>33</v>
      </c>
      <c r="D55" s="78" t="s">
        <v>419</v>
      </c>
      <c r="E55" s="74" t="s">
        <v>60</v>
      </c>
      <c r="F55" s="61" t="s">
        <v>346</v>
      </c>
      <c r="G55" s="61"/>
      <c r="H55" s="61"/>
      <c r="I55" s="58">
        <f>G55*748.94</f>
        <v>0</v>
      </c>
      <c r="J55" s="61">
        <v>3867.8</v>
      </c>
      <c r="K55" s="64">
        <f t="shared" si="0"/>
        <v>0</v>
      </c>
    </row>
    <row r="56" spans="1:11" ht="29.25" customHeight="1" hidden="1">
      <c r="A56" s="68"/>
      <c r="B56" s="68"/>
      <c r="C56" s="72">
        <v>34</v>
      </c>
      <c r="D56" s="78" t="s">
        <v>349</v>
      </c>
      <c r="E56" s="74" t="s">
        <v>60</v>
      </c>
      <c r="F56" s="61" t="s">
        <v>346</v>
      </c>
      <c r="G56" s="61"/>
      <c r="H56" s="61"/>
      <c r="I56" s="58">
        <f>G56*989.9</f>
        <v>0</v>
      </c>
      <c r="J56" s="61">
        <v>3867.8</v>
      </c>
      <c r="K56" s="64">
        <f t="shared" si="0"/>
        <v>0</v>
      </c>
    </row>
    <row r="57" spans="1:11" ht="29.25" customHeight="1" hidden="1">
      <c r="A57" s="68"/>
      <c r="B57" s="68"/>
      <c r="C57" s="72">
        <v>35</v>
      </c>
      <c r="D57" s="78" t="s">
        <v>350</v>
      </c>
      <c r="E57" s="74" t="s">
        <v>60</v>
      </c>
      <c r="F57" s="61" t="s">
        <v>346</v>
      </c>
      <c r="G57" s="61"/>
      <c r="H57" s="61"/>
      <c r="I57" s="58">
        <f>G57*688</f>
        <v>0</v>
      </c>
      <c r="J57" s="61">
        <v>3867.8</v>
      </c>
      <c r="K57" s="64">
        <f t="shared" si="0"/>
        <v>0</v>
      </c>
    </row>
    <row r="58" spans="1:11" ht="29.25" customHeight="1" hidden="1">
      <c r="A58" s="68"/>
      <c r="B58" s="68"/>
      <c r="C58" s="72">
        <v>36</v>
      </c>
      <c r="D58" s="78" t="s">
        <v>351</v>
      </c>
      <c r="E58" s="74" t="s">
        <v>60</v>
      </c>
      <c r="F58" s="61" t="s">
        <v>352</v>
      </c>
      <c r="G58" s="61"/>
      <c r="H58" s="61"/>
      <c r="I58" s="58">
        <f>G58*285.354</f>
        <v>0</v>
      </c>
      <c r="J58" s="61">
        <v>3867.8</v>
      </c>
      <c r="K58" s="64">
        <f t="shared" si="0"/>
        <v>0</v>
      </c>
    </row>
    <row r="59" spans="1:11" ht="29.25" customHeight="1" hidden="1">
      <c r="A59" s="68"/>
      <c r="B59" s="68"/>
      <c r="C59" s="72">
        <v>37</v>
      </c>
      <c r="D59" s="78" t="s">
        <v>353</v>
      </c>
      <c r="E59" s="74" t="s">
        <v>60</v>
      </c>
      <c r="F59" s="61" t="s">
        <v>352</v>
      </c>
      <c r="G59" s="61"/>
      <c r="H59" s="61"/>
      <c r="I59" s="58">
        <f>G59*2790.59</f>
        <v>0</v>
      </c>
      <c r="J59" s="61">
        <v>3867.8</v>
      </c>
      <c r="K59" s="64">
        <f t="shared" si="0"/>
        <v>0</v>
      </c>
    </row>
    <row r="60" spans="1:11" ht="29.25" customHeight="1" hidden="1">
      <c r="A60" s="68"/>
      <c r="B60" s="68"/>
      <c r="C60" s="72">
        <v>38</v>
      </c>
      <c r="D60" s="78" t="s">
        <v>354</v>
      </c>
      <c r="E60" s="74" t="s">
        <v>60</v>
      </c>
      <c r="F60" s="61" t="s">
        <v>352</v>
      </c>
      <c r="G60" s="61"/>
      <c r="H60" s="61"/>
      <c r="I60" s="58">
        <f>G60*1427.65</f>
        <v>0</v>
      </c>
      <c r="J60" s="61">
        <v>3867.8</v>
      </c>
      <c r="K60" s="64">
        <f t="shared" si="0"/>
        <v>0</v>
      </c>
    </row>
    <row r="61" spans="1:11" ht="24.75" customHeight="1" hidden="1">
      <c r="A61" s="68"/>
      <c r="B61" s="68"/>
      <c r="C61" s="72">
        <v>39</v>
      </c>
      <c r="D61" s="78" t="s">
        <v>355</v>
      </c>
      <c r="E61" s="74" t="s">
        <v>60</v>
      </c>
      <c r="F61" s="61" t="s">
        <v>346</v>
      </c>
      <c r="G61" s="61"/>
      <c r="H61" s="61"/>
      <c r="I61" s="58">
        <f>G61*406.37</f>
        <v>0</v>
      </c>
      <c r="J61" s="61">
        <v>3867.8</v>
      </c>
      <c r="K61" s="64">
        <f t="shared" si="0"/>
        <v>0</v>
      </c>
    </row>
    <row r="62" spans="1:11" ht="24.75" customHeight="1" hidden="1">
      <c r="A62" s="68"/>
      <c r="B62" s="68"/>
      <c r="C62" s="72">
        <v>40</v>
      </c>
      <c r="D62" s="78" t="s">
        <v>425</v>
      </c>
      <c r="E62" s="74" t="s">
        <v>60</v>
      </c>
      <c r="F62" s="61" t="s">
        <v>426</v>
      </c>
      <c r="G62" s="61"/>
      <c r="H62" s="61"/>
      <c r="I62" s="58">
        <f>G62*40.785</f>
        <v>0</v>
      </c>
      <c r="J62" s="61">
        <v>3867.8</v>
      </c>
      <c r="K62" s="64">
        <f t="shared" si="0"/>
        <v>0</v>
      </c>
    </row>
    <row r="63" spans="1:11" ht="22.5" customHeight="1">
      <c r="A63" s="68"/>
      <c r="B63" s="68"/>
      <c r="C63" s="72">
        <v>41</v>
      </c>
      <c r="D63" s="78" t="s">
        <v>356</v>
      </c>
      <c r="E63" s="74" t="s">
        <v>60</v>
      </c>
      <c r="F63" s="61" t="s">
        <v>332</v>
      </c>
      <c r="G63" s="61">
        <f>6</f>
        <v>6</v>
      </c>
      <c r="H63" s="61"/>
      <c r="I63" s="58">
        <f>G63*470.28</f>
        <v>2821.68</v>
      </c>
      <c r="J63" s="61">
        <v>3867.8</v>
      </c>
      <c r="K63" s="64">
        <f t="shared" si="0"/>
        <v>0.06079424996121826</v>
      </c>
    </row>
    <row r="64" spans="1:11" ht="21.75" customHeight="1">
      <c r="A64" s="68"/>
      <c r="B64" s="68"/>
      <c r="C64" s="72">
        <v>42</v>
      </c>
      <c r="D64" s="78" t="s">
        <v>357</v>
      </c>
      <c r="E64" s="74" t="s">
        <v>60</v>
      </c>
      <c r="F64" s="61" t="s">
        <v>332</v>
      </c>
      <c r="G64" s="61">
        <f>1+27</f>
        <v>28</v>
      </c>
      <c r="H64" s="61"/>
      <c r="I64" s="58">
        <f>G64*274.83</f>
        <v>7695.24</v>
      </c>
      <c r="J64" s="61">
        <v>3867.8</v>
      </c>
      <c r="K64" s="64">
        <f t="shared" si="0"/>
        <v>0.16579709395522002</v>
      </c>
    </row>
    <row r="65" spans="1:11" ht="22.5" customHeight="1">
      <c r="A65" s="68"/>
      <c r="B65" s="68"/>
      <c r="C65" s="72">
        <v>43</v>
      </c>
      <c r="D65" s="78" t="s">
        <v>358</v>
      </c>
      <c r="E65" s="74" t="s">
        <v>60</v>
      </c>
      <c r="F65" s="61" t="s">
        <v>332</v>
      </c>
      <c r="G65" s="61">
        <f>6</f>
        <v>6</v>
      </c>
      <c r="H65" s="61"/>
      <c r="I65" s="58">
        <f>G65*94.51</f>
        <v>567.0600000000001</v>
      </c>
      <c r="J65" s="61">
        <v>3867.8</v>
      </c>
      <c r="K65" s="64">
        <f t="shared" si="0"/>
        <v>0.01221753968664357</v>
      </c>
    </row>
    <row r="66" spans="1:11" ht="20.25" customHeight="1">
      <c r="A66" s="68"/>
      <c r="B66" s="68"/>
      <c r="C66" s="72">
        <v>44</v>
      </c>
      <c r="D66" s="78" t="s">
        <v>359</v>
      </c>
      <c r="E66" s="74" t="s">
        <v>60</v>
      </c>
      <c r="F66" s="61" t="s">
        <v>332</v>
      </c>
      <c r="G66" s="61">
        <f>27</f>
        <v>27</v>
      </c>
      <c r="H66" s="61"/>
      <c r="I66" s="58">
        <f>G66*54.51</f>
        <v>1471.77</v>
      </c>
      <c r="J66" s="61">
        <v>3867.8</v>
      </c>
      <c r="K66" s="64">
        <f t="shared" si="0"/>
        <v>0.03170988675732975</v>
      </c>
    </row>
    <row r="67" spans="1:11" ht="21" customHeight="1" hidden="1">
      <c r="A67" s="68"/>
      <c r="B67" s="68"/>
      <c r="C67" s="72">
        <v>45</v>
      </c>
      <c r="D67" s="78" t="s">
        <v>447</v>
      </c>
      <c r="E67" s="74" t="s">
        <v>60</v>
      </c>
      <c r="F67" s="61" t="s">
        <v>332</v>
      </c>
      <c r="G67" s="61"/>
      <c r="H67" s="61"/>
      <c r="I67" s="58">
        <f>G67*1779</f>
        <v>0</v>
      </c>
      <c r="J67" s="61">
        <v>3867.8</v>
      </c>
      <c r="K67" s="64">
        <f t="shared" si="0"/>
        <v>0</v>
      </c>
    </row>
    <row r="68" spans="1:11" ht="19.5" customHeight="1" hidden="1">
      <c r="A68" s="71">
        <v>22</v>
      </c>
      <c r="B68" s="71" t="s">
        <v>58</v>
      </c>
      <c r="C68" s="72">
        <v>46</v>
      </c>
      <c r="D68" s="78" t="s">
        <v>360</v>
      </c>
      <c r="E68" s="74" t="s">
        <v>60</v>
      </c>
      <c r="F68" s="75" t="s">
        <v>332</v>
      </c>
      <c r="G68" s="61"/>
      <c r="H68" s="61"/>
      <c r="I68" s="58">
        <f>G68*584.49</f>
        <v>0</v>
      </c>
      <c r="J68" s="61">
        <v>3867.8</v>
      </c>
      <c r="K68" s="64">
        <f t="shared" si="0"/>
        <v>0</v>
      </c>
    </row>
    <row r="69" spans="1:11" ht="22.5" hidden="1">
      <c r="A69" s="71"/>
      <c r="B69" s="71"/>
      <c r="C69" s="72">
        <v>27</v>
      </c>
      <c r="D69" s="78" t="s">
        <v>361</v>
      </c>
      <c r="E69" s="74" t="s">
        <v>158</v>
      </c>
      <c r="F69" s="75" t="s">
        <v>111</v>
      </c>
      <c r="G69" s="61"/>
      <c r="H69" s="61">
        <v>1</v>
      </c>
      <c r="I69" s="83">
        <v>0</v>
      </c>
      <c r="J69" s="61">
        <v>3867.8</v>
      </c>
      <c r="K69" s="64">
        <f t="shared" si="0"/>
        <v>0</v>
      </c>
    </row>
    <row r="70" spans="1:11" ht="22.5" hidden="1">
      <c r="A70" s="71"/>
      <c r="B70" s="71"/>
      <c r="C70" s="72">
        <v>47</v>
      </c>
      <c r="D70" s="78" t="s">
        <v>436</v>
      </c>
      <c r="E70" s="78" t="s">
        <v>68</v>
      </c>
      <c r="F70" s="75" t="s">
        <v>111</v>
      </c>
      <c r="G70" s="61"/>
      <c r="H70" s="61">
        <v>1</v>
      </c>
      <c r="I70" s="58">
        <f>G70*H70*3178.68</f>
        <v>0</v>
      </c>
      <c r="J70" s="61">
        <v>3867.8</v>
      </c>
      <c r="K70" s="64">
        <f t="shared" si="0"/>
        <v>0</v>
      </c>
    </row>
    <row r="71" spans="1:11" ht="22.5" hidden="1">
      <c r="A71" s="71"/>
      <c r="B71" s="71"/>
      <c r="C71" s="72">
        <v>48</v>
      </c>
      <c r="D71" s="78" t="s">
        <v>437</v>
      </c>
      <c r="E71" s="78" t="s">
        <v>68</v>
      </c>
      <c r="F71" s="75" t="s">
        <v>332</v>
      </c>
      <c r="G71" s="61"/>
      <c r="H71" s="61"/>
      <c r="I71" s="58">
        <f>G71*366.29</f>
        <v>0</v>
      </c>
      <c r="J71" s="61">
        <v>3867.8</v>
      </c>
      <c r="K71" s="64">
        <f t="shared" si="0"/>
        <v>0</v>
      </c>
    </row>
    <row r="72" spans="1:11" ht="22.5" hidden="1">
      <c r="A72" s="71"/>
      <c r="B72" s="71"/>
      <c r="C72" s="72">
        <v>49</v>
      </c>
      <c r="D72" s="78" t="s">
        <v>438</v>
      </c>
      <c r="E72" s="78" t="s">
        <v>68</v>
      </c>
      <c r="F72" s="75" t="s">
        <v>111</v>
      </c>
      <c r="G72" s="61"/>
      <c r="H72" s="61"/>
      <c r="I72" s="58">
        <f>G72*250</f>
        <v>0</v>
      </c>
      <c r="J72" s="61">
        <v>3867.8</v>
      </c>
      <c r="K72" s="64">
        <f t="shared" si="0"/>
        <v>0</v>
      </c>
    </row>
    <row r="73" spans="1:11" ht="22.5" hidden="1">
      <c r="A73" s="71"/>
      <c r="B73" s="71"/>
      <c r="C73" s="72">
        <v>50</v>
      </c>
      <c r="D73" s="78" t="s">
        <v>362</v>
      </c>
      <c r="E73" s="78" t="s">
        <v>68</v>
      </c>
      <c r="F73" s="75" t="s">
        <v>332</v>
      </c>
      <c r="G73" s="61"/>
      <c r="H73" s="61"/>
      <c r="I73" s="58">
        <f>G73*948.93</f>
        <v>0</v>
      </c>
      <c r="J73" s="61">
        <v>3867.8</v>
      </c>
      <c r="K73" s="64">
        <f t="shared" si="0"/>
        <v>0</v>
      </c>
    </row>
    <row r="74" spans="1:11" ht="22.5" hidden="1">
      <c r="A74" s="71"/>
      <c r="B74" s="71"/>
      <c r="C74" s="72">
        <v>51</v>
      </c>
      <c r="D74" s="78" t="s">
        <v>363</v>
      </c>
      <c r="E74" s="74" t="s">
        <v>60</v>
      </c>
      <c r="F74" s="75" t="s">
        <v>346</v>
      </c>
      <c r="G74" s="61"/>
      <c r="H74" s="61">
        <v>1</v>
      </c>
      <c r="I74" s="58">
        <f>G74*642.27</f>
        <v>0</v>
      </c>
      <c r="J74" s="61">
        <v>3867.8</v>
      </c>
      <c r="K74" s="64">
        <f t="shared" si="0"/>
        <v>0</v>
      </c>
    </row>
    <row r="75" spans="1:11" ht="22.5" hidden="1">
      <c r="A75" s="71"/>
      <c r="B75" s="71"/>
      <c r="C75" s="72">
        <v>52</v>
      </c>
      <c r="D75" s="78" t="s">
        <v>364</v>
      </c>
      <c r="E75" s="74" t="s">
        <v>60</v>
      </c>
      <c r="F75" s="75" t="s">
        <v>346</v>
      </c>
      <c r="G75" s="61"/>
      <c r="H75" s="61">
        <v>1</v>
      </c>
      <c r="I75" s="58">
        <f>G75*284.28</f>
        <v>0</v>
      </c>
      <c r="J75" s="61">
        <v>3867.8</v>
      </c>
      <c r="K75" s="64">
        <f aca="true" t="shared" si="1" ref="K75:K140">I75/12/3867.8</f>
        <v>0</v>
      </c>
    </row>
    <row r="76" spans="1:11" ht="19.5" customHeight="1" hidden="1">
      <c r="A76" s="71">
        <v>66</v>
      </c>
      <c r="B76" s="71" t="s">
        <v>82</v>
      </c>
      <c r="C76" s="72">
        <v>53</v>
      </c>
      <c r="D76" s="78" t="s">
        <v>100</v>
      </c>
      <c r="E76" s="78" t="s">
        <v>68</v>
      </c>
      <c r="F76" s="75" t="s">
        <v>346</v>
      </c>
      <c r="G76" s="61"/>
      <c r="H76" s="61">
        <v>12</v>
      </c>
      <c r="I76" s="58">
        <f>G76*184.28</f>
        <v>0</v>
      </c>
      <c r="J76" s="61">
        <v>3867.8</v>
      </c>
      <c r="K76" s="64">
        <f t="shared" si="1"/>
        <v>0</v>
      </c>
    </row>
    <row r="77" spans="1:11" ht="27.75" customHeight="1">
      <c r="A77" s="71">
        <v>73</v>
      </c>
      <c r="B77" s="71" t="s">
        <v>86</v>
      </c>
      <c r="C77" s="72">
        <v>54</v>
      </c>
      <c r="D77" s="78" t="s">
        <v>365</v>
      </c>
      <c r="E77" s="78" t="s">
        <v>23</v>
      </c>
      <c r="F77" s="75" t="s">
        <v>366</v>
      </c>
      <c r="G77" s="61">
        <v>19268</v>
      </c>
      <c r="H77" s="61">
        <v>1</v>
      </c>
      <c r="I77" s="58">
        <f>G77*H77*0.45</f>
        <v>8670.6</v>
      </c>
      <c r="J77" s="61">
        <v>3867.8</v>
      </c>
      <c r="K77" s="64">
        <f t="shared" si="1"/>
        <v>0.18681162417911992</v>
      </c>
    </row>
    <row r="78" spans="1:11" ht="27.75" customHeight="1" hidden="1">
      <c r="A78" s="71">
        <v>84</v>
      </c>
      <c r="B78" s="71" t="s">
        <v>91</v>
      </c>
      <c r="C78" s="72">
        <v>55</v>
      </c>
      <c r="D78" s="78" t="s">
        <v>92</v>
      </c>
      <c r="E78" s="78" t="s">
        <v>68</v>
      </c>
      <c r="F78" s="75" t="s">
        <v>74</v>
      </c>
      <c r="G78" s="61"/>
      <c r="H78" s="61">
        <v>2</v>
      </c>
      <c r="I78" s="61">
        <f>G78*120.87</f>
        <v>0</v>
      </c>
      <c r="J78" s="61">
        <v>3867.8</v>
      </c>
      <c r="K78" s="64">
        <f t="shared" si="1"/>
        <v>0</v>
      </c>
    </row>
    <row r="79" spans="1:11" ht="24.75" customHeight="1" hidden="1">
      <c r="A79" s="71">
        <v>87</v>
      </c>
      <c r="B79" s="71" t="s">
        <v>93</v>
      </c>
      <c r="C79" s="72">
        <v>56</v>
      </c>
      <c r="D79" s="78" t="s">
        <v>94</v>
      </c>
      <c r="E79" s="78" t="s">
        <v>23</v>
      </c>
      <c r="F79" s="75" t="s">
        <v>95</v>
      </c>
      <c r="G79" s="61"/>
      <c r="H79" s="61">
        <v>1</v>
      </c>
      <c r="I79" s="130">
        <f>G79*H79*21.05*100</f>
        <v>0</v>
      </c>
      <c r="J79" s="61">
        <v>3867.8</v>
      </c>
      <c r="K79" s="64">
        <f t="shared" si="1"/>
        <v>0</v>
      </c>
    </row>
    <row r="80" spans="1:11" ht="26.25" customHeight="1">
      <c r="A80" s="71"/>
      <c r="B80" s="71"/>
      <c r="C80" s="72">
        <v>57</v>
      </c>
      <c r="D80" s="78" t="s">
        <v>367</v>
      </c>
      <c r="E80" s="74" t="s">
        <v>158</v>
      </c>
      <c r="F80" s="75" t="s">
        <v>368</v>
      </c>
      <c r="G80" s="61">
        <v>1</v>
      </c>
      <c r="H80" s="61"/>
      <c r="I80" s="129">
        <f>G80*109094.37</f>
        <v>109094.37</v>
      </c>
      <c r="J80" s="61">
        <v>3867.8</v>
      </c>
      <c r="K80" s="64">
        <f t="shared" si="1"/>
        <v>2.3504828326180256</v>
      </c>
    </row>
    <row r="81" spans="1:11" ht="26.25" customHeight="1">
      <c r="A81" s="71"/>
      <c r="B81" s="71"/>
      <c r="C81" s="72">
        <v>58</v>
      </c>
      <c r="D81" s="78" t="s">
        <v>425</v>
      </c>
      <c r="E81" s="74" t="s">
        <v>68</v>
      </c>
      <c r="F81" s="75" t="s">
        <v>443</v>
      </c>
      <c r="G81" s="61">
        <v>7.268</v>
      </c>
      <c r="H81" s="61"/>
      <c r="I81" s="129">
        <f>G81*0.357*1000</f>
        <v>2594.676</v>
      </c>
      <c r="J81" s="61">
        <v>3867.8</v>
      </c>
      <c r="K81" s="64">
        <f t="shared" si="1"/>
        <v>0.055903355912922066</v>
      </c>
    </row>
    <row r="82" spans="1:11" ht="15.75" customHeight="1">
      <c r="A82" s="143" t="s">
        <v>101</v>
      </c>
      <c r="B82" s="143"/>
      <c r="C82" s="86"/>
      <c r="D82" s="144" t="s">
        <v>102</v>
      </c>
      <c r="E82" s="144"/>
      <c r="F82" s="144"/>
      <c r="G82" s="87"/>
      <c r="H82" s="87"/>
      <c r="I82" s="61"/>
      <c r="J82" s="61"/>
      <c r="K82" s="64"/>
    </row>
    <row r="83" spans="1:11" ht="0.75" customHeight="1">
      <c r="A83" s="68"/>
      <c r="B83" s="68"/>
      <c r="C83" s="61">
        <v>59</v>
      </c>
      <c r="D83" s="78" t="s">
        <v>104</v>
      </c>
      <c r="E83" s="78" t="s">
        <v>68</v>
      </c>
      <c r="F83" s="131" t="s">
        <v>332</v>
      </c>
      <c r="G83" s="61"/>
      <c r="H83" s="87"/>
      <c r="I83" s="61">
        <f>G83*24.57</f>
        <v>0</v>
      </c>
      <c r="J83" s="61">
        <v>3867.8</v>
      </c>
      <c r="K83" s="64">
        <f t="shared" si="1"/>
        <v>0</v>
      </c>
    </row>
    <row r="84" spans="1:11" ht="24" customHeight="1" hidden="1">
      <c r="A84" s="68"/>
      <c r="B84" s="68"/>
      <c r="C84" s="61">
        <v>60</v>
      </c>
      <c r="D84" s="78" t="s">
        <v>369</v>
      </c>
      <c r="E84" s="78" t="s">
        <v>68</v>
      </c>
      <c r="F84" s="131" t="s">
        <v>332</v>
      </c>
      <c r="G84" s="61"/>
      <c r="H84" s="87"/>
      <c r="I84" s="58">
        <f>G84*108.21*10</f>
        <v>0</v>
      </c>
      <c r="J84" s="61">
        <v>3867.8</v>
      </c>
      <c r="K84" s="64">
        <f t="shared" si="1"/>
        <v>0</v>
      </c>
    </row>
    <row r="85" spans="1:11" ht="22.5" customHeight="1" hidden="1">
      <c r="A85" s="68"/>
      <c r="B85" s="68"/>
      <c r="C85" s="61">
        <v>61</v>
      </c>
      <c r="D85" s="78" t="s">
        <v>370</v>
      </c>
      <c r="E85" s="78" t="s">
        <v>68</v>
      </c>
      <c r="F85" s="131" t="s">
        <v>332</v>
      </c>
      <c r="G85" s="61"/>
      <c r="H85" s="87"/>
      <c r="I85" s="61">
        <f>G85*356.58</f>
        <v>0</v>
      </c>
      <c r="J85" s="61">
        <v>3867.8</v>
      </c>
      <c r="K85" s="64">
        <f t="shared" si="1"/>
        <v>0</v>
      </c>
    </row>
    <row r="86" spans="1:11" ht="19.5" customHeight="1">
      <c r="A86" s="68"/>
      <c r="B86" s="68"/>
      <c r="C86" s="61">
        <v>62</v>
      </c>
      <c r="D86" s="78" t="s">
        <v>371</v>
      </c>
      <c r="E86" s="78" t="s">
        <v>68</v>
      </c>
      <c r="F86" s="131" t="s">
        <v>332</v>
      </c>
      <c r="G86" s="61">
        <f>1</f>
        <v>1</v>
      </c>
      <c r="H86" s="87"/>
      <c r="I86" s="61">
        <f>G86*465.68</f>
        <v>465.68</v>
      </c>
      <c r="J86" s="61">
        <v>3867.8</v>
      </c>
      <c r="K86" s="64">
        <f t="shared" si="1"/>
        <v>0.010033266111656928</v>
      </c>
    </row>
    <row r="87" spans="1:11" ht="19.5" customHeight="1">
      <c r="A87" s="68"/>
      <c r="B87" s="68"/>
      <c r="C87" s="61">
        <v>63</v>
      </c>
      <c r="D87" s="78" t="s">
        <v>372</v>
      </c>
      <c r="E87" s="78" t="s">
        <v>68</v>
      </c>
      <c r="F87" s="131" t="s">
        <v>332</v>
      </c>
      <c r="G87" s="61">
        <f>7</f>
        <v>7</v>
      </c>
      <c r="H87" s="87"/>
      <c r="I87" s="61">
        <f>G87*255.33</f>
        <v>1787.3100000000002</v>
      </c>
      <c r="J87" s="61">
        <v>3867.8</v>
      </c>
      <c r="K87" s="64">
        <f t="shared" si="1"/>
        <v>0.038508325146077875</v>
      </c>
    </row>
    <row r="88" spans="1:11" ht="20.25" customHeight="1" hidden="1">
      <c r="A88" s="68"/>
      <c r="B88" s="68"/>
      <c r="C88" s="61">
        <v>64</v>
      </c>
      <c r="D88" s="78" t="s">
        <v>433</v>
      </c>
      <c r="E88" s="78" t="s">
        <v>68</v>
      </c>
      <c r="F88" s="131" t="s">
        <v>332</v>
      </c>
      <c r="G88" s="61"/>
      <c r="H88" s="87"/>
      <c r="I88" s="61">
        <f>G88*94.62</f>
        <v>0</v>
      </c>
      <c r="J88" s="61">
        <v>3867.8</v>
      </c>
      <c r="K88" s="64">
        <f t="shared" si="1"/>
        <v>0</v>
      </c>
    </row>
    <row r="89" spans="1:11" ht="20.25" customHeight="1" hidden="1">
      <c r="A89" s="71">
        <v>712</v>
      </c>
      <c r="B89" s="71" t="s">
        <v>103</v>
      </c>
      <c r="C89" s="72">
        <v>65</v>
      </c>
      <c r="D89" s="74" t="s">
        <v>373</v>
      </c>
      <c r="E89" s="78" t="s">
        <v>68</v>
      </c>
      <c r="F89" s="131" t="s">
        <v>332</v>
      </c>
      <c r="G89" s="61">
        <f>1</f>
        <v>1</v>
      </c>
      <c r="H89" s="61"/>
      <c r="I89" s="61">
        <f>G89*66.57</f>
        <v>66.57</v>
      </c>
      <c r="J89" s="61">
        <v>3867.8</v>
      </c>
      <c r="K89" s="64">
        <f t="shared" si="1"/>
        <v>0.0014342778840684624</v>
      </c>
    </row>
    <row r="90" spans="1:11" ht="24" customHeight="1" hidden="1">
      <c r="A90" s="71"/>
      <c r="B90" s="71"/>
      <c r="C90" s="72">
        <v>66</v>
      </c>
      <c r="D90" s="74" t="s">
        <v>374</v>
      </c>
      <c r="E90" s="78" t="s">
        <v>68</v>
      </c>
      <c r="F90" s="131" t="s">
        <v>332</v>
      </c>
      <c r="G90" s="61"/>
      <c r="H90" s="61"/>
      <c r="I90" s="58">
        <f>G90*350.16</f>
        <v>0</v>
      </c>
      <c r="J90" s="61">
        <v>3867.8</v>
      </c>
      <c r="K90" s="64">
        <f t="shared" si="1"/>
        <v>0</v>
      </c>
    </row>
    <row r="91" spans="1:11" ht="19.5" customHeight="1" hidden="1">
      <c r="A91" s="71"/>
      <c r="B91" s="71"/>
      <c r="C91" s="72">
        <v>67</v>
      </c>
      <c r="D91" s="74" t="s">
        <v>375</v>
      </c>
      <c r="E91" s="78" t="s">
        <v>68</v>
      </c>
      <c r="F91" s="131" t="s">
        <v>332</v>
      </c>
      <c r="G91" s="61"/>
      <c r="H91" s="61"/>
      <c r="I91" s="58">
        <f>G91*154</f>
        <v>0</v>
      </c>
      <c r="J91" s="61">
        <v>3867.8</v>
      </c>
      <c r="K91" s="64">
        <f t="shared" si="1"/>
        <v>0</v>
      </c>
    </row>
    <row r="92" spans="1:11" ht="22.5" hidden="1">
      <c r="A92" s="71"/>
      <c r="B92" s="71"/>
      <c r="C92" s="72">
        <v>68</v>
      </c>
      <c r="D92" s="74" t="s">
        <v>376</v>
      </c>
      <c r="E92" s="78" t="s">
        <v>123</v>
      </c>
      <c r="F92" s="75" t="s">
        <v>111</v>
      </c>
      <c r="G92" s="61"/>
      <c r="H92" s="61">
        <v>2</v>
      </c>
      <c r="I92" s="58">
        <f>G92*223.84</f>
        <v>0</v>
      </c>
      <c r="J92" s="61">
        <v>3867.8</v>
      </c>
      <c r="K92" s="64">
        <f t="shared" si="1"/>
        <v>0</v>
      </c>
    </row>
    <row r="93" spans="1:11" ht="22.5" hidden="1">
      <c r="A93" s="71"/>
      <c r="B93" s="71"/>
      <c r="C93" s="72">
        <v>69</v>
      </c>
      <c r="D93" s="74" t="s">
        <v>377</v>
      </c>
      <c r="E93" s="78" t="s">
        <v>68</v>
      </c>
      <c r="F93" s="75" t="s">
        <v>111</v>
      </c>
      <c r="G93" s="61"/>
      <c r="H93" s="61"/>
      <c r="I93" s="58">
        <f>G93*1128.79</f>
        <v>0</v>
      </c>
      <c r="J93" s="61">
        <v>3867.8</v>
      </c>
      <c r="K93" s="64">
        <f t="shared" si="1"/>
        <v>0</v>
      </c>
    </row>
    <row r="94" spans="1:11" ht="27" customHeight="1">
      <c r="A94" s="71">
        <v>730</v>
      </c>
      <c r="B94" s="71" t="s">
        <v>109</v>
      </c>
      <c r="C94" s="72">
        <v>70</v>
      </c>
      <c r="D94" s="74" t="s">
        <v>110</v>
      </c>
      <c r="E94" s="74" t="s">
        <v>21</v>
      </c>
      <c r="F94" s="75" t="s">
        <v>111</v>
      </c>
      <c r="G94" s="61">
        <v>1</v>
      </c>
      <c r="H94" s="61">
        <v>12</v>
      </c>
      <c r="I94" s="58">
        <f>G94*54.57*H94</f>
        <v>654.84</v>
      </c>
      <c r="J94" s="61">
        <v>3867.8</v>
      </c>
      <c r="K94" s="64">
        <f t="shared" si="1"/>
        <v>0.014108795697812709</v>
      </c>
    </row>
    <row r="95" spans="1:11" ht="40.5" customHeight="1">
      <c r="A95" s="71"/>
      <c r="B95" s="71"/>
      <c r="C95" s="72">
        <v>71</v>
      </c>
      <c r="D95" s="74" t="s">
        <v>378</v>
      </c>
      <c r="E95" s="74" t="s">
        <v>158</v>
      </c>
      <c r="F95" s="75" t="s">
        <v>111</v>
      </c>
      <c r="G95" s="61">
        <v>1</v>
      </c>
      <c r="H95" s="61">
        <v>1</v>
      </c>
      <c r="I95" s="58">
        <f>G95*1244</f>
        <v>1244</v>
      </c>
      <c r="J95" s="61">
        <v>3867.8</v>
      </c>
      <c r="K95" s="64">
        <f t="shared" si="1"/>
        <v>0.026802488925659722</v>
      </c>
    </row>
    <row r="96" spans="1:11" ht="22.5">
      <c r="A96" s="71"/>
      <c r="B96" s="71"/>
      <c r="C96" s="72">
        <v>72</v>
      </c>
      <c r="D96" s="74" t="s">
        <v>459</v>
      </c>
      <c r="E96" s="74" t="s">
        <v>158</v>
      </c>
      <c r="F96" s="75" t="s">
        <v>346</v>
      </c>
      <c r="G96" s="61">
        <f>170+6</f>
        <v>176</v>
      </c>
      <c r="H96" s="61"/>
      <c r="I96" s="58">
        <f>G96*95.611</f>
        <v>16827.536</v>
      </c>
      <c r="J96" s="61">
        <v>3867.8</v>
      </c>
      <c r="K96" s="64">
        <f t="shared" si="1"/>
        <v>0.3625561473361256</v>
      </c>
    </row>
    <row r="97" spans="1:11" ht="45" hidden="1">
      <c r="A97" s="71"/>
      <c r="B97" s="71"/>
      <c r="C97" s="72">
        <v>73</v>
      </c>
      <c r="D97" s="74" t="s">
        <v>379</v>
      </c>
      <c r="E97" s="78" t="s">
        <v>345</v>
      </c>
      <c r="F97" s="75" t="s">
        <v>111</v>
      </c>
      <c r="G97" s="61"/>
      <c r="H97" s="61">
        <v>3</v>
      </c>
      <c r="I97" s="58">
        <f>G97*178.835*H97</f>
        <v>0</v>
      </c>
      <c r="J97" s="61">
        <v>3867.8</v>
      </c>
      <c r="K97" s="64">
        <f t="shared" si="1"/>
        <v>0</v>
      </c>
    </row>
    <row r="98" spans="1:11" ht="15.75" customHeight="1">
      <c r="A98" s="143" t="s">
        <v>112</v>
      </c>
      <c r="B98" s="143"/>
      <c r="C98" s="145" t="s">
        <v>113</v>
      </c>
      <c r="D98" s="145"/>
      <c r="E98" s="145"/>
      <c r="F98" s="145"/>
      <c r="G98" s="145"/>
      <c r="H98" s="145"/>
      <c r="I98" s="70"/>
      <c r="J98" s="61"/>
      <c r="K98" s="64"/>
    </row>
    <row r="99" spans="1:11" ht="22.5">
      <c r="A99" s="68"/>
      <c r="B99" s="77"/>
      <c r="C99" s="61">
        <v>74</v>
      </c>
      <c r="D99" s="78" t="s">
        <v>380</v>
      </c>
      <c r="E99" s="78" t="s">
        <v>116</v>
      </c>
      <c r="F99" s="61" t="s">
        <v>142</v>
      </c>
      <c r="G99" s="88">
        <v>3.867</v>
      </c>
      <c r="H99" s="89">
        <v>4</v>
      </c>
      <c r="I99" s="58">
        <f>0.55*G99*H99*1000</f>
        <v>8507.4</v>
      </c>
      <c r="J99" s="61">
        <v>3867.8</v>
      </c>
      <c r="K99" s="64">
        <f t="shared" si="1"/>
        <v>0.18329541341330988</v>
      </c>
    </row>
    <row r="100" spans="1:11" ht="29.25" customHeight="1">
      <c r="A100" s="71">
        <v>90</v>
      </c>
      <c r="B100" s="71" t="s">
        <v>114</v>
      </c>
      <c r="C100" s="61">
        <v>75</v>
      </c>
      <c r="D100" s="74" t="s">
        <v>115</v>
      </c>
      <c r="E100" s="74" t="s">
        <v>116</v>
      </c>
      <c r="F100" s="75" t="s">
        <v>117</v>
      </c>
      <c r="G100" s="61">
        <v>0.24</v>
      </c>
      <c r="H100" s="61">
        <v>4</v>
      </c>
      <c r="I100" s="58">
        <f>G100*H100*53.7*100</f>
        <v>5155.2</v>
      </c>
      <c r="J100" s="61">
        <v>3867.8</v>
      </c>
      <c r="K100" s="64">
        <f t="shared" si="1"/>
        <v>0.11107089301411653</v>
      </c>
    </row>
    <row r="101" spans="1:11" ht="29.25" customHeight="1">
      <c r="A101" s="71"/>
      <c r="B101" s="71"/>
      <c r="C101" s="61">
        <v>76</v>
      </c>
      <c r="D101" s="74" t="s">
        <v>381</v>
      </c>
      <c r="E101" s="74" t="s">
        <v>116</v>
      </c>
      <c r="F101" s="75" t="s">
        <v>382</v>
      </c>
      <c r="G101" s="61">
        <v>3.867</v>
      </c>
      <c r="H101" s="61">
        <v>4</v>
      </c>
      <c r="I101" s="58">
        <f>G101*H101*0.245*1000</f>
        <v>3789.66</v>
      </c>
      <c r="J101" s="61">
        <v>3867.8</v>
      </c>
      <c r="K101" s="64">
        <f t="shared" si="1"/>
        <v>0.08164977506592895</v>
      </c>
    </row>
    <row r="102" spans="1:11" ht="18.75" customHeight="1">
      <c r="A102" s="71">
        <v>92</v>
      </c>
      <c r="B102" s="71" t="s">
        <v>118</v>
      </c>
      <c r="C102" s="72">
        <v>77</v>
      </c>
      <c r="D102" s="74" t="s">
        <v>119</v>
      </c>
      <c r="E102" s="74" t="s">
        <v>116</v>
      </c>
      <c r="F102" s="75" t="s">
        <v>120</v>
      </c>
      <c r="G102" s="61">
        <v>0.24</v>
      </c>
      <c r="H102" s="61">
        <v>4</v>
      </c>
      <c r="I102" s="58">
        <f>2.66*G102*H102*100</f>
        <v>255.35999999999999</v>
      </c>
      <c r="J102" s="61">
        <v>3867.8</v>
      </c>
      <c r="K102" s="64">
        <f t="shared" si="1"/>
        <v>0.005501835668855679</v>
      </c>
    </row>
    <row r="103" spans="1:11" ht="21" customHeight="1">
      <c r="A103" s="71"/>
      <c r="B103" s="71"/>
      <c r="C103" s="61">
        <v>78</v>
      </c>
      <c r="D103" s="74" t="s">
        <v>383</v>
      </c>
      <c r="E103" s="74" t="s">
        <v>123</v>
      </c>
      <c r="F103" s="75" t="s">
        <v>136</v>
      </c>
      <c r="G103" s="61">
        <v>623.4</v>
      </c>
      <c r="H103" s="61">
        <v>2</v>
      </c>
      <c r="I103" s="58">
        <f>G103*2.3764*H103</f>
        <v>2962.8955199999996</v>
      </c>
      <c r="J103" s="61">
        <v>3867.8</v>
      </c>
      <c r="K103" s="64">
        <f t="shared" si="1"/>
        <v>0.06383679611148456</v>
      </c>
    </row>
    <row r="104" spans="1:11" ht="28.5" customHeight="1">
      <c r="A104" s="71"/>
      <c r="B104" s="71"/>
      <c r="C104" s="72">
        <v>79</v>
      </c>
      <c r="D104" s="74" t="s">
        <v>384</v>
      </c>
      <c r="E104" s="74" t="s">
        <v>385</v>
      </c>
      <c r="F104" s="75" t="s">
        <v>142</v>
      </c>
      <c r="G104" s="64">
        <v>15.48</v>
      </c>
      <c r="H104" s="58">
        <v>1</v>
      </c>
      <c r="I104" s="58">
        <f>G104*1.4*1000</f>
        <v>21672</v>
      </c>
      <c r="J104" s="61">
        <v>3867.8</v>
      </c>
      <c r="K104" s="64">
        <f t="shared" si="1"/>
        <v>0.4669321061068307</v>
      </c>
    </row>
    <row r="105" spans="1:11" ht="15.75" customHeight="1">
      <c r="A105" s="143" t="s">
        <v>126</v>
      </c>
      <c r="B105" s="143"/>
      <c r="C105" s="145" t="s">
        <v>127</v>
      </c>
      <c r="D105" s="145"/>
      <c r="E105" s="145"/>
      <c r="F105" s="145"/>
      <c r="G105" s="145"/>
      <c r="H105" s="145"/>
      <c r="I105" s="70"/>
      <c r="J105" s="61"/>
      <c r="K105" s="64"/>
    </row>
    <row r="106" spans="1:11" ht="28.5" customHeight="1">
      <c r="A106" s="71"/>
      <c r="B106" s="71"/>
      <c r="C106" s="72">
        <v>80</v>
      </c>
      <c r="D106" s="74" t="s">
        <v>454</v>
      </c>
      <c r="E106" s="74" t="s">
        <v>130</v>
      </c>
      <c r="F106" s="75" t="s">
        <v>136</v>
      </c>
      <c r="G106" s="61">
        <v>475.5</v>
      </c>
      <c r="H106" s="61">
        <v>144</v>
      </c>
      <c r="I106" s="58">
        <f>0.097*G106*H106</f>
        <v>6641.784</v>
      </c>
      <c r="J106" s="61">
        <v>3867.8</v>
      </c>
      <c r="K106" s="64">
        <f t="shared" si="1"/>
        <v>0.1430999534619163</v>
      </c>
    </row>
    <row r="107" spans="1:11" ht="17.25" customHeight="1">
      <c r="A107" s="71"/>
      <c r="B107" s="71"/>
      <c r="C107" s="72">
        <v>81</v>
      </c>
      <c r="D107" s="74" t="s">
        <v>420</v>
      </c>
      <c r="E107" s="74" t="s">
        <v>317</v>
      </c>
      <c r="F107" s="75" t="s">
        <v>136</v>
      </c>
      <c r="G107" s="61">
        <v>475.5</v>
      </c>
      <c r="H107" s="61">
        <v>12</v>
      </c>
      <c r="I107" s="58">
        <f>G107*H107*2.21</f>
        <v>12610.26</v>
      </c>
      <c r="J107" s="61">
        <v>3867.8</v>
      </c>
      <c r="K107" s="64">
        <f t="shared" si="1"/>
        <v>0.2716932106106831</v>
      </c>
    </row>
    <row r="108" spans="1:11" ht="17.25" customHeight="1">
      <c r="A108" s="71"/>
      <c r="B108" s="71"/>
      <c r="C108" s="72"/>
      <c r="D108" s="74" t="s">
        <v>269</v>
      </c>
      <c r="E108" s="74" t="s">
        <v>455</v>
      </c>
      <c r="F108" s="75" t="s">
        <v>136</v>
      </c>
      <c r="G108" s="61">
        <v>475.5</v>
      </c>
      <c r="H108" s="61">
        <v>4</v>
      </c>
      <c r="I108" s="58">
        <f>G108*H108*0.59</f>
        <v>1122.1799999999998</v>
      </c>
      <c r="J108" s="61">
        <v>3867.8</v>
      </c>
      <c r="K108" s="64">
        <f t="shared" si="1"/>
        <v>0.024177827188582652</v>
      </c>
    </row>
    <row r="109" spans="1:11" ht="16.5" customHeight="1">
      <c r="A109" s="71"/>
      <c r="B109" s="71"/>
      <c r="C109" s="72">
        <v>82</v>
      </c>
      <c r="D109" s="74" t="s">
        <v>386</v>
      </c>
      <c r="E109" s="74" t="s">
        <v>130</v>
      </c>
      <c r="F109" s="75" t="s">
        <v>136</v>
      </c>
      <c r="G109" s="61">
        <v>4</v>
      </c>
      <c r="H109" s="61">
        <v>144</v>
      </c>
      <c r="I109" s="58">
        <f>G109*H109*2.21</f>
        <v>1272.96</v>
      </c>
      <c r="J109" s="61">
        <v>3867.8</v>
      </c>
      <c r="K109" s="64">
        <f t="shared" si="1"/>
        <v>0.027426443973318164</v>
      </c>
    </row>
    <row r="110" spans="1:11" ht="16.5" customHeight="1">
      <c r="A110" s="71"/>
      <c r="B110" s="71"/>
      <c r="C110" s="72">
        <v>83</v>
      </c>
      <c r="D110" s="74" t="s">
        <v>421</v>
      </c>
      <c r="E110" s="74" t="s">
        <v>422</v>
      </c>
      <c r="F110" s="75" t="s">
        <v>346</v>
      </c>
      <c r="G110" s="61">
        <v>100</v>
      </c>
      <c r="H110" s="61">
        <v>24</v>
      </c>
      <c r="I110" s="58">
        <f>G110*H110*2.65</f>
        <v>6360</v>
      </c>
      <c r="J110" s="61">
        <v>3867.8</v>
      </c>
      <c r="K110" s="64">
        <f t="shared" si="1"/>
        <v>0.13702880190289052</v>
      </c>
    </row>
    <row r="111" spans="1:11" ht="16.5" customHeight="1">
      <c r="A111" s="71"/>
      <c r="B111" s="71"/>
      <c r="C111" s="72">
        <v>84</v>
      </c>
      <c r="D111" s="74" t="s">
        <v>423</v>
      </c>
      <c r="E111" s="74" t="s">
        <v>317</v>
      </c>
      <c r="F111" s="75" t="s">
        <v>332</v>
      </c>
      <c r="G111" s="61">
        <v>13</v>
      </c>
      <c r="H111" s="61">
        <v>12</v>
      </c>
      <c r="I111" s="58">
        <f>G111*H111*9.42</f>
        <v>1469.52</v>
      </c>
      <c r="J111" s="61">
        <v>3867.8</v>
      </c>
      <c r="K111" s="64">
        <f t="shared" si="1"/>
        <v>0.031661409586845234</v>
      </c>
    </row>
    <row r="112" spans="1:11" ht="16.5" customHeight="1">
      <c r="A112" s="71"/>
      <c r="B112" s="71"/>
      <c r="C112" s="72">
        <v>85</v>
      </c>
      <c r="D112" s="74" t="s">
        <v>424</v>
      </c>
      <c r="E112" s="74" t="s">
        <v>317</v>
      </c>
      <c r="F112" s="75" t="s">
        <v>136</v>
      </c>
      <c r="G112" s="61">
        <v>5</v>
      </c>
      <c r="H112" s="61">
        <v>12</v>
      </c>
      <c r="I112" s="58">
        <f>G112*H112*16.5</f>
        <v>990</v>
      </c>
      <c r="J112" s="61">
        <v>3867.8</v>
      </c>
      <c r="K112" s="64">
        <f t="shared" si="1"/>
        <v>0.02132995501318579</v>
      </c>
    </row>
    <row r="113" spans="1:11" ht="16.5" customHeight="1">
      <c r="A113" s="71"/>
      <c r="B113" s="71"/>
      <c r="C113" s="72">
        <v>86</v>
      </c>
      <c r="D113" s="74" t="s">
        <v>387</v>
      </c>
      <c r="E113" s="74" t="s">
        <v>130</v>
      </c>
      <c r="F113" s="75" t="s">
        <v>346</v>
      </c>
      <c r="G113" s="61">
        <v>15</v>
      </c>
      <c r="H113" s="61">
        <v>144</v>
      </c>
      <c r="I113" s="128">
        <f>G113*H113*3.26</f>
        <v>7041.599999999999</v>
      </c>
      <c r="J113" s="61">
        <v>3867.8</v>
      </c>
      <c r="K113" s="64">
        <f t="shared" si="1"/>
        <v>0.15171415274833236</v>
      </c>
    </row>
    <row r="114" spans="1:11" ht="24.75" customHeight="1">
      <c r="A114" s="71"/>
      <c r="B114" s="71"/>
      <c r="C114" s="72"/>
      <c r="D114" s="74" t="s">
        <v>462</v>
      </c>
      <c r="E114" s="74" t="s">
        <v>23</v>
      </c>
      <c r="F114" s="75" t="s">
        <v>311</v>
      </c>
      <c r="G114" s="61">
        <v>1</v>
      </c>
      <c r="H114" s="61"/>
      <c r="I114" s="128">
        <v>1600</v>
      </c>
      <c r="J114" s="61">
        <v>3867.8</v>
      </c>
      <c r="K114" s="64">
        <f t="shared" si="1"/>
        <v>0.03447265456676491</v>
      </c>
    </row>
    <row r="115" spans="1:11" ht="16.5" customHeight="1">
      <c r="A115" s="71"/>
      <c r="B115" s="71"/>
      <c r="C115" s="72">
        <v>87</v>
      </c>
      <c r="D115" s="74" t="s">
        <v>388</v>
      </c>
      <c r="E115" s="74" t="s">
        <v>130</v>
      </c>
      <c r="F115" s="75" t="s">
        <v>111</v>
      </c>
      <c r="G115" s="61">
        <v>5</v>
      </c>
      <c r="H115" s="61">
        <v>144</v>
      </c>
      <c r="I115" s="128">
        <f>G115*H115*8.56</f>
        <v>6163.200000000001</v>
      </c>
      <c r="J115" s="61">
        <v>3867.8</v>
      </c>
      <c r="K115" s="64">
        <f t="shared" si="1"/>
        <v>0.13278866539117845</v>
      </c>
    </row>
    <row r="116" spans="1:11" ht="15.75" customHeight="1">
      <c r="A116" s="143" t="s">
        <v>137</v>
      </c>
      <c r="B116" s="143"/>
      <c r="C116" s="145" t="s">
        <v>138</v>
      </c>
      <c r="D116" s="145"/>
      <c r="E116" s="145"/>
      <c r="F116" s="145"/>
      <c r="G116" s="145"/>
      <c r="H116" s="145"/>
      <c r="I116" s="70"/>
      <c r="J116" s="61"/>
      <c r="K116" s="64"/>
    </row>
    <row r="117" spans="1:11" ht="29.25" customHeight="1">
      <c r="A117" s="71">
        <v>112</v>
      </c>
      <c r="B117" s="71" t="s">
        <v>139</v>
      </c>
      <c r="C117" s="72">
        <v>88</v>
      </c>
      <c r="D117" s="78" t="s">
        <v>140</v>
      </c>
      <c r="E117" s="78" t="s">
        <v>141</v>
      </c>
      <c r="F117" s="75" t="s">
        <v>142</v>
      </c>
      <c r="G117" s="61">
        <v>0.045</v>
      </c>
      <c r="H117" s="61">
        <v>144</v>
      </c>
      <c r="I117" s="58">
        <f>0.2*G117*H117*1000</f>
        <v>1295.9999999999998</v>
      </c>
      <c r="J117" s="61">
        <v>3867.8</v>
      </c>
      <c r="K117" s="64">
        <f t="shared" si="1"/>
        <v>0.027922850199079575</v>
      </c>
    </row>
    <row r="118" spans="1:11" ht="0.75" customHeight="1">
      <c r="A118" s="71">
        <v>114</v>
      </c>
      <c r="B118" s="71" t="s">
        <v>143</v>
      </c>
      <c r="C118" s="72">
        <v>89</v>
      </c>
      <c r="D118" s="74" t="s">
        <v>144</v>
      </c>
      <c r="E118" s="74" t="s">
        <v>141</v>
      </c>
      <c r="F118" s="75" t="s">
        <v>142</v>
      </c>
      <c r="G118" s="61"/>
      <c r="H118" s="61"/>
      <c r="I118" s="58">
        <f>5*G118*H118*1000</f>
        <v>0</v>
      </c>
      <c r="J118" s="61">
        <v>3867.8</v>
      </c>
      <c r="K118" s="64">
        <f t="shared" si="1"/>
        <v>0</v>
      </c>
    </row>
    <row r="119" spans="1:11" ht="18.75" customHeight="1">
      <c r="A119" s="71">
        <v>121</v>
      </c>
      <c r="B119" s="71" t="s">
        <v>145</v>
      </c>
      <c r="C119" s="72">
        <v>90</v>
      </c>
      <c r="D119" s="90" t="s">
        <v>429</v>
      </c>
      <c r="E119" s="74" t="s">
        <v>130</v>
      </c>
      <c r="F119" s="75" t="s">
        <v>142</v>
      </c>
      <c r="G119" s="91">
        <v>0.769</v>
      </c>
      <c r="H119" s="58">
        <v>144</v>
      </c>
      <c r="I119" s="58">
        <f>0.08*G119*H119*1000</f>
        <v>8858.880000000001</v>
      </c>
      <c r="J119" s="61">
        <v>3867.8</v>
      </c>
      <c r="K119" s="64">
        <f t="shared" si="1"/>
        <v>0.19086819380526399</v>
      </c>
    </row>
    <row r="120" spans="1:11" ht="20.25" customHeight="1">
      <c r="A120" s="71">
        <v>122</v>
      </c>
      <c r="B120" s="71" t="s">
        <v>147</v>
      </c>
      <c r="C120" s="72">
        <v>91</v>
      </c>
      <c r="D120" s="74" t="s">
        <v>430</v>
      </c>
      <c r="E120" s="74" t="s">
        <v>389</v>
      </c>
      <c r="F120" s="75" t="s">
        <v>142</v>
      </c>
      <c r="G120" s="61">
        <v>0.769</v>
      </c>
      <c r="H120" s="61">
        <v>30</v>
      </c>
      <c r="I120" s="58">
        <f>0.106*G120*H120*1000</f>
        <v>2445.42</v>
      </c>
      <c r="J120" s="61">
        <v>3867.8</v>
      </c>
      <c r="K120" s="64">
        <f t="shared" si="1"/>
        <v>0.05268757433166141</v>
      </c>
    </row>
    <row r="121" spans="1:11" ht="15.75">
      <c r="A121" s="71"/>
      <c r="B121" s="71"/>
      <c r="C121" s="72">
        <v>92</v>
      </c>
      <c r="D121" s="74" t="s">
        <v>279</v>
      </c>
      <c r="E121" s="74" t="s">
        <v>390</v>
      </c>
      <c r="F121" s="75" t="s">
        <v>136</v>
      </c>
      <c r="G121" s="61">
        <v>56</v>
      </c>
      <c r="H121" s="61">
        <v>144</v>
      </c>
      <c r="I121" s="58">
        <f>G121*H121*1.06</f>
        <v>8547.84</v>
      </c>
      <c r="J121" s="61">
        <v>3867.8</v>
      </c>
      <c r="K121" s="64">
        <f t="shared" si="1"/>
        <v>0.1841667097574849</v>
      </c>
    </row>
    <row r="122" spans="1:11" ht="15.75">
      <c r="A122" s="71"/>
      <c r="B122" s="71"/>
      <c r="C122" s="72">
        <v>93</v>
      </c>
      <c r="D122" s="74" t="s">
        <v>283</v>
      </c>
      <c r="E122" s="74" t="s">
        <v>123</v>
      </c>
      <c r="F122" s="75" t="s">
        <v>142</v>
      </c>
      <c r="G122" s="61">
        <v>0.25</v>
      </c>
      <c r="H122" s="61">
        <v>2</v>
      </c>
      <c r="I122" s="58">
        <f>5200*G122*H122</f>
        <v>2600</v>
      </c>
      <c r="J122" s="61">
        <v>3867.8</v>
      </c>
      <c r="K122" s="64">
        <f t="shared" si="1"/>
        <v>0.056018063670992976</v>
      </c>
    </row>
    <row r="123" spans="1:11" ht="15.75">
      <c r="A123" s="71"/>
      <c r="B123" s="71"/>
      <c r="C123" s="72">
        <v>94</v>
      </c>
      <c r="D123" s="74" t="s">
        <v>285</v>
      </c>
      <c r="E123" s="86" t="s">
        <v>123</v>
      </c>
      <c r="F123" s="92" t="s">
        <v>142</v>
      </c>
      <c r="G123" s="61"/>
      <c r="H123" s="61"/>
      <c r="I123" s="58">
        <f>I122*0.2</f>
        <v>520</v>
      </c>
      <c r="J123" s="61">
        <v>3867.8</v>
      </c>
      <c r="K123" s="64">
        <f t="shared" si="1"/>
        <v>0.011203612734198598</v>
      </c>
    </row>
    <row r="124" spans="1:11" ht="15.75" hidden="1">
      <c r="A124" s="71"/>
      <c r="B124" s="71"/>
      <c r="C124" s="72">
        <v>95</v>
      </c>
      <c r="D124" s="74" t="s">
        <v>391</v>
      </c>
      <c r="E124" s="86" t="s">
        <v>68</v>
      </c>
      <c r="F124" s="92" t="s">
        <v>288</v>
      </c>
      <c r="G124" s="61"/>
      <c r="H124" s="61"/>
      <c r="I124" s="58">
        <f>G124*H124*102</f>
        <v>0</v>
      </c>
      <c r="J124" s="61">
        <v>3867.8</v>
      </c>
      <c r="K124" s="64">
        <f t="shared" si="1"/>
        <v>0</v>
      </c>
    </row>
    <row r="125" spans="1:11" ht="22.5">
      <c r="A125" s="93"/>
      <c r="B125" s="94"/>
      <c r="C125" s="72">
        <v>96</v>
      </c>
      <c r="D125" s="95" t="s">
        <v>392</v>
      </c>
      <c r="E125" s="95" t="s">
        <v>141</v>
      </c>
      <c r="F125" s="96" t="s">
        <v>142</v>
      </c>
      <c r="G125" s="61">
        <v>0.286</v>
      </c>
      <c r="H125" s="61">
        <v>6</v>
      </c>
      <c r="I125" s="58">
        <f>G125*H125*7000</f>
        <v>12011.999999999998</v>
      </c>
      <c r="J125" s="61">
        <v>3867.8</v>
      </c>
      <c r="K125" s="64">
        <f t="shared" si="1"/>
        <v>0.25880345415998757</v>
      </c>
    </row>
    <row r="126" spans="1:11" ht="16.5" customHeight="1">
      <c r="A126" s="143"/>
      <c r="B126" s="143"/>
      <c r="C126" s="145" t="s">
        <v>151</v>
      </c>
      <c r="D126" s="145"/>
      <c r="E126" s="145"/>
      <c r="F126" s="145"/>
      <c r="G126" s="145"/>
      <c r="H126" s="145"/>
      <c r="I126" s="70"/>
      <c r="J126" s="61"/>
      <c r="K126" s="64"/>
    </row>
    <row r="127" spans="1:11" ht="21.75" customHeight="1" hidden="1">
      <c r="A127" s="71">
        <v>125</v>
      </c>
      <c r="B127" s="71" t="s">
        <v>152</v>
      </c>
      <c r="C127" s="72">
        <v>97</v>
      </c>
      <c r="D127" s="78" t="s">
        <v>393</v>
      </c>
      <c r="E127" s="78" t="s">
        <v>394</v>
      </c>
      <c r="F127" s="75" t="s">
        <v>142</v>
      </c>
      <c r="G127" s="61"/>
      <c r="H127" s="61"/>
      <c r="I127" s="58">
        <f>1.2*G127*H127*1000</f>
        <v>0</v>
      </c>
      <c r="J127" s="61">
        <v>3867.8</v>
      </c>
      <c r="K127" s="64">
        <f t="shared" si="1"/>
        <v>0</v>
      </c>
    </row>
    <row r="128" spans="1:11" ht="15" customHeight="1">
      <c r="A128" s="71">
        <v>132</v>
      </c>
      <c r="B128" s="71" t="s">
        <v>154</v>
      </c>
      <c r="C128" s="72">
        <v>98</v>
      </c>
      <c r="D128" s="78" t="s">
        <v>395</v>
      </c>
      <c r="E128" s="78" t="s">
        <v>394</v>
      </c>
      <c r="F128" s="75" t="s">
        <v>142</v>
      </c>
      <c r="G128" s="64">
        <v>0.045</v>
      </c>
      <c r="H128" s="58">
        <v>144</v>
      </c>
      <c r="I128" s="58">
        <f>G128*H128*1000*0.83</f>
        <v>5378.399999999999</v>
      </c>
      <c r="J128" s="61">
        <v>3867.8</v>
      </c>
      <c r="K128" s="64">
        <f t="shared" si="1"/>
        <v>0.11587982832618023</v>
      </c>
    </row>
    <row r="129" spans="1:11" ht="13.5" customHeight="1">
      <c r="A129" s="93"/>
      <c r="B129" s="94" t="s">
        <v>156</v>
      </c>
      <c r="C129" s="72">
        <v>99</v>
      </c>
      <c r="D129" s="95" t="s">
        <v>290</v>
      </c>
      <c r="E129" s="95" t="s">
        <v>396</v>
      </c>
      <c r="F129" s="96" t="s">
        <v>142</v>
      </c>
      <c r="G129" s="64">
        <v>0.05</v>
      </c>
      <c r="H129" s="58">
        <v>85</v>
      </c>
      <c r="I129" s="58">
        <f>G129*H129*1.254*1000</f>
        <v>5329.5</v>
      </c>
      <c r="J129" s="61">
        <v>3867.8</v>
      </c>
      <c r="K129" s="64">
        <f t="shared" si="1"/>
        <v>0.1148262578209835</v>
      </c>
    </row>
    <row r="130" spans="1:11" ht="15.75" customHeight="1">
      <c r="A130" s="93"/>
      <c r="B130" s="94"/>
      <c r="C130" s="72">
        <v>100</v>
      </c>
      <c r="D130" s="95" t="s">
        <v>397</v>
      </c>
      <c r="E130" s="95" t="s">
        <v>68</v>
      </c>
      <c r="F130" s="96" t="s">
        <v>142</v>
      </c>
      <c r="G130" s="96">
        <v>0.05</v>
      </c>
      <c r="H130" s="96">
        <v>85</v>
      </c>
      <c r="I130" s="97">
        <f>G130*H130*0.18*1000</f>
        <v>765</v>
      </c>
      <c r="J130" s="61">
        <v>3867.8</v>
      </c>
      <c r="K130" s="64">
        <f t="shared" si="1"/>
        <v>0.016482237964734473</v>
      </c>
    </row>
    <row r="131" spans="1:11" ht="15.75" customHeight="1">
      <c r="A131" s="93"/>
      <c r="B131" s="94"/>
      <c r="C131" s="72">
        <v>101</v>
      </c>
      <c r="D131" s="95" t="s">
        <v>398</v>
      </c>
      <c r="E131" s="95" t="s">
        <v>394</v>
      </c>
      <c r="F131" s="96" t="s">
        <v>142</v>
      </c>
      <c r="G131" s="61">
        <v>0.286</v>
      </c>
      <c r="H131" s="61">
        <v>12</v>
      </c>
      <c r="I131" s="58">
        <f>G131*H131*9000</f>
        <v>30887.999999999996</v>
      </c>
      <c r="J131" s="61">
        <v>3867.8</v>
      </c>
      <c r="K131" s="64">
        <f t="shared" si="1"/>
        <v>0.6654945964113965</v>
      </c>
    </row>
    <row r="132" spans="1:11" ht="15.75" customHeight="1">
      <c r="A132" s="77"/>
      <c r="B132" s="98"/>
      <c r="C132" s="148" t="s">
        <v>297</v>
      </c>
      <c r="D132" s="148"/>
      <c r="E132" s="148"/>
      <c r="F132" s="148"/>
      <c r="G132" s="148"/>
      <c r="H132" s="148"/>
      <c r="I132" s="99"/>
      <c r="J132" s="61"/>
      <c r="K132" s="64"/>
    </row>
    <row r="133" spans="1:11" ht="15.75">
      <c r="A133" s="77"/>
      <c r="B133" s="98"/>
      <c r="C133" s="72">
        <v>102</v>
      </c>
      <c r="D133" s="100" t="s">
        <v>281</v>
      </c>
      <c r="E133" s="66" t="s">
        <v>123</v>
      </c>
      <c r="F133" s="61" t="s">
        <v>52</v>
      </c>
      <c r="G133" s="101">
        <v>12.46</v>
      </c>
      <c r="H133" s="101"/>
      <c r="I133" s="58">
        <f>G133*13.84*100</f>
        <v>17244.64</v>
      </c>
      <c r="J133" s="61">
        <v>3867.8</v>
      </c>
      <c r="K133" s="64">
        <f t="shared" si="1"/>
        <v>0.3715428236551355</v>
      </c>
    </row>
    <row r="134" spans="1:11" ht="22.5">
      <c r="A134" s="77"/>
      <c r="B134" s="98"/>
      <c r="C134" s="72">
        <v>103</v>
      </c>
      <c r="D134" s="66" t="s">
        <v>399</v>
      </c>
      <c r="E134" s="66" t="s">
        <v>400</v>
      </c>
      <c r="F134" s="61" t="s">
        <v>288</v>
      </c>
      <c r="G134" s="58">
        <v>15</v>
      </c>
      <c r="H134" s="58"/>
      <c r="I134" s="58">
        <f>G134*462.33</f>
        <v>6934.95</v>
      </c>
      <c r="J134" s="61">
        <v>3867.8</v>
      </c>
      <c r="K134" s="64">
        <f t="shared" si="1"/>
        <v>0.14941633486736647</v>
      </c>
    </row>
    <row r="135" spans="1:11" ht="0.75" customHeight="1">
      <c r="A135" s="77"/>
      <c r="B135" s="98"/>
      <c r="C135" s="72">
        <v>104</v>
      </c>
      <c r="D135" s="66" t="s">
        <v>401</v>
      </c>
      <c r="E135" s="74" t="s">
        <v>158</v>
      </c>
      <c r="F135" s="61"/>
      <c r="G135" s="58"/>
      <c r="H135" s="58"/>
      <c r="I135" s="58"/>
      <c r="J135" s="61">
        <v>3867.8</v>
      </c>
      <c r="K135" s="64">
        <f t="shared" si="1"/>
        <v>0</v>
      </c>
    </row>
    <row r="136" spans="1:11" ht="26.25" customHeight="1" hidden="1">
      <c r="A136" s="77"/>
      <c r="B136" s="98"/>
      <c r="C136" s="72">
        <v>105</v>
      </c>
      <c r="D136" s="66" t="s">
        <v>402</v>
      </c>
      <c r="E136" s="66" t="s">
        <v>400</v>
      </c>
      <c r="F136" s="61" t="s">
        <v>175</v>
      </c>
      <c r="G136" s="58"/>
      <c r="H136" s="58"/>
      <c r="I136" s="58">
        <f>G136*55*10</f>
        <v>0</v>
      </c>
      <c r="J136" s="61">
        <v>3867.8</v>
      </c>
      <c r="K136" s="64">
        <f t="shared" si="1"/>
        <v>0</v>
      </c>
    </row>
    <row r="137" spans="1:11" ht="26.25" customHeight="1" hidden="1">
      <c r="A137" s="77"/>
      <c r="B137" s="98"/>
      <c r="C137" s="72">
        <v>106</v>
      </c>
      <c r="D137" s="66" t="s">
        <v>427</v>
      </c>
      <c r="E137" s="66" t="s">
        <v>400</v>
      </c>
      <c r="F137" s="61" t="s">
        <v>332</v>
      </c>
      <c r="G137" s="58"/>
      <c r="H137" s="58"/>
      <c r="I137" s="58">
        <f>G137*H137*1820.757</f>
        <v>0</v>
      </c>
      <c r="J137" s="61">
        <v>3867.8</v>
      </c>
      <c r="K137" s="64">
        <f t="shared" si="1"/>
        <v>0</v>
      </c>
    </row>
    <row r="138" spans="1:11" ht="19.5" customHeight="1">
      <c r="A138" s="77"/>
      <c r="B138" s="98"/>
      <c r="C138" s="72">
        <v>107</v>
      </c>
      <c r="D138" s="66" t="s">
        <v>461</v>
      </c>
      <c r="E138" s="66" t="s">
        <v>400</v>
      </c>
      <c r="F138" s="61" t="s">
        <v>136</v>
      </c>
      <c r="G138" s="101">
        <v>8.7</v>
      </c>
      <c r="H138" s="58"/>
      <c r="I138" s="58">
        <f>G138*1715.54</f>
        <v>14925.197999999999</v>
      </c>
      <c r="J138" s="61">
        <v>3867.8</v>
      </c>
      <c r="K138" s="64">
        <f t="shared" si="1"/>
        <v>0.3215694968716066</v>
      </c>
    </row>
    <row r="139" spans="1:11" ht="1.5" customHeight="1">
      <c r="A139" s="77"/>
      <c r="B139" s="98"/>
      <c r="C139" s="72">
        <v>108</v>
      </c>
      <c r="D139" s="66" t="s">
        <v>442</v>
      </c>
      <c r="E139" s="66" t="s">
        <v>400</v>
      </c>
      <c r="F139" s="61" t="s">
        <v>111</v>
      </c>
      <c r="G139" s="101"/>
      <c r="H139" s="58"/>
      <c r="I139" s="58">
        <f>G139*979</f>
        <v>0</v>
      </c>
      <c r="J139" s="61">
        <v>3867.8</v>
      </c>
      <c r="K139" s="64">
        <f t="shared" si="1"/>
        <v>0</v>
      </c>
    </row>
    <row r="140" spans="1:11" ht="27" customHeight="1" hidden="1">
      <c r="A140" s="77"/>
      <c r="B140" s="98"/>
      <c r="C140" s="72">
        <v>109</v>
      </c>
      <c r="D140" s="66" t="s">
        <v>439</v>
      </c>
      <c r="E140" s="66" t="s">
        <v>400</v>
      </c>
      <c r="F140" s="61" t="s">
        <v>346</v>
      </c>
      <c r="G140" s="101"/>
      <c r="H140" s="58"/>
      <c r="I140" s="58">
        <f>G140*365.11</f>
        <v>0</v>
      </c>
      <c r="J140" s="61">
        <v>3867.8</v>
      </c>
      <c r="K140" s="64">
        <f t="shared" si="1"/>
        <v>0</v>
      </c>
    </row>
    <row r="141" spans="1:11" ht="27" customHeight="1" hidden="1">
      <c r="A141" s="77"/>
      <c r="B141" s="98" t="s">
        <v>440</v>
      </c>
      <c r="C141" s="72">
        <v>110</v>
      </c>
      <c r="D141" s="66" t="s">
        <v>441</v>
      </c>
      <c r="E141" s="66" t="s">
        <v>400</v>
      </c>
      <c r="F141" s="61" t="s">
        <v>346</v>
      </c>
      <c r="G141" s="101"/>
      <c r="H141" s="58"/>
      <c r="I141" s="58">
        <f>G141*95.78</f>
        <v>0</v>
      </c>
      <c r="J141" s="61">
        <v>3867.8</v>
      </c>
      <c r="K141" s="64">
        <f>I141/12/3867.8</f>
        <v>0</v>
      </c>
    </row>
    <row r="142" spans="1:11" ht="27" customHeight="1" hidden="1">
      <c r="A142" s="77"/>
      <c r="B142" s="98"/>
      <c r="C142" s="72">
        <v>111</v>
      </c>
      <c r="D142" s="66" t="s">
        <v>448</v>
      </c>
      <c r="E142" s="66" t="s">
        <v>400</v>
      </c>
      <c r="F142" s="61" t="s">
        <v>136</v>
      </c>
      <c r="G142" s="101"/>
      <c r="H142" s="58"/>
      <c r="I142" s="58">
        <f>G142*H142*70.72</f>
        <v>0</v>
      </c>
      <c r="J142" s="61">
        <v>3867.8</v>
      </c>
      <c r="K142" s="64">
        <f>I142/12/3867.8</f>
        <v>0</v>
      </c>
    </row>
    <row r="143" spans="1:11" ht="27" customHeight="1" hidden="1">
      <c r="A143" s="77"/>
      <c r="B143" s="98"/>
      <c r="C143" s="72">
        <v>112</v>
      </c>
      <c r="D143" s="66" t="s">
        <v>446</v>
      </c>
      <c r="E143" s="66" t="s">
        <v>400</v>
      </c>
      <c r="F143" s="61" t="s">
        <v>288</v>
      </c>
      <c r="G143" s="101"/>
      <c r="H143" s="58"/>
      <c r="I143" s="58">
        <f>G143*3829.6</f>
        <v>0</v>
      </c>
      <c r="J143" s="61">
        <v>3867.8</v>
      </c>
      <c r="K143" s="64">
        <f>I143/12/3867.8</f>
        <v>0</v>
      </c>
    </row>
    <row r="144" spans="1:11" s="105" customFormat="1" ht="13.5" customHeight="1">
      <c r="A144" s="102"/>
      <c r="B144" s="149" t="s">
        <v>403</v>
      </c>
      <c r="C144" s="149"/>
      <c r="D144" s="149"/>
      <c r="E144" s="66"/>
      <c r="F144" s="61"/>
      <c r="G144" s="103"/>
      <c r="H144" s="103"/>
      <c r="I144" s="58">
        <f>SUM(I6:I138)</f>
        <v>813520.2247700001</v>
      </c>
      <c r="J144" s="58"/>
      <c r="K144" s="104">
        <f>SUM(K6:K143)</f>
        <v>17.527626057233228</v>
      </c>
    </row>
    <row r="145" spans="1:11" s="105" customFormat="1" ht="12.75">
      <c r="A145" s="102"/>
      <c r="B145" s="106"/>
      <c r="C145" s="107"/>
      <c r="D145" s="108" t="s">
        <v>404</v>
      </c>
      <c r="E145" s="66"/>
      <c r="F145" s="61"/>
      <c r="G145" s="103"/>
      <c r="H145" s="103"/>
      <c r="I145" s="103"/>
      <c r="J145" s="103"/>
      <c r="K145" s="104"/>
    </row>
    <row r="146" spans="1:11" s="105" customFormat="1" ht="12.75">
      <c r="A146" s="102"/>
      <c r="B146" s="106"/>
      <c r="C146" s="107"/>
      <c r="D146" s="108" t="s">
        <v>164</v>
      </c>
      <c r="E146" s="104"/>
      <c r="F146" s="61"/>
      <c r="G146" s="103"/>
      <c r="H146" s="103"/>
      <c r="I146" s="103"/>
      <c r="J146" s="103"/>
      <c r="K146" s="104">
        <f>K144-K147-K148-K149</f>
        <v>12.597626057233228</v>
      </c>
    </row>
    <row r="147" spans="1:11" s="105" customFormat="1" ht="12.75">
      <c r="A147" s="102"/>
      <c r="B147" s="106"/>
      <c r="C147" s="107"/>
      <c r="D147" s="109" t="s">
        <v>405</v>
      </c>
      <c r="E147" s="104"/>
      <c r="F147" s="61"/>
      <c r="G147" s="103"/>
      <c r="H147" s="103"/>
      <c r="I147" s="103"/>
      <c r="J147" s="103"/>
      <c r="K147" s="104">
        <v>1.25</v>
      </c>
    </row>
    <row r="148" spans="1:11" ht="15.75">
      <c r="A148" s="77"/>
      <c r="B148" s="98"/>
      <c r="C148" s="61"/>
      <c r="D148" s="66" t="s">
        <v>406</v>
      </c>
      <c r="E148" s="66"/>
      <c r="F148" s="61"/>
      <c r="G148" s="110"/>
      <c r="H148" s="110"/>
      <c r="I148" s="58"/>
      <c r="J148" s="58"/>
      <c r="K148" s="86">
        <v>2.64</v>
      </c>
    </row>
    <row r="149" spans="1:11" ht="15.75">
      <c r="A149" s="77"/>
      <c r="B149" s="98"/>
      <c r="C149" s="61"/>
      <c r="D149" s="66" t="s">
        <v>310</v>
      </c>
      <c r="E149" s="66"/>
      <c r="F149" s="61"/>
      <c r="G149" s="110"/>
      <c r="H149" s="110"/>
      <c r="I149" s="58"/>
      <c r="J149" s="58"/>
      <c r="K149" s="86">
        <v>1.04</v>
      </c>
    </row>
    <row r="150" spans="1:11" ht="15.75">
      <c r="A150" s="111"/>
      <c r="B150" s="112"/>
      <c r="C150" s="113"/>
      <c r="D150" s="114"/>
      <c r="E150" s="114"/>
      <c r="F150" s="113"/>
      <c r="G150" s="115"/>
      <c r="H150" s="115"/>
      <c r="I150" s="116"/>
      <c r="J150" s="116"/>
      <c r="K150" s="51"/>
    </row>
    <row r="151" spans="1:11" ht="15.75">
      <c r="A151" s="44"/>
      <c r="B151" s="3"/>
      <c r="C151" s="45"/>
      <c r="D151" s="117"/>
      <c r="E151" s="117"/>
      <c r="F151" s="45"/>
      <c r="G151" s="47"/>
      <c r="H151" s="47"/>
      <c r="I151" s="48"/>
      <c r="J151" s="48"/>
      <c r="K151" s="46"/>
    </row>
    <row r="152" spans="3:11" ht="15.75">
      <c r="C152" s="45"/>
      <c r="D152" s="117"/>
      <c r="E152" s="117"/>
      <c r="F152" s="45"/>
      <c r="G152" s="47"/>
      <c r="H152" s="47"/>
      <c r="I152" s="48"/>
      <c r="J152" s="48"/>
      <c r="K152" s="46"/>
    </row>
    <row r="153" spans="3:11" ht="15.75">
      <c r="C153" s="45"/>
      <c r="D153" s="117" t="s">
        <v>407</v>
      </c>
      <c r="E153" s="117"/>
      <c r="F153" s="45"/>
      <c r="G153" s="47"/>
      <c r="H153" s="47" t="s">
        <v>408</v>
      </c>
      <c r="I153" s="48"/>
      <c r="J153" s="48"/>
      <c r="K153" s="46"/>
    </row>
    <row r="154" spans="3:10" ht="15.75">
      <c r="C154" s="2"/>
      <c r="D154" s="118"/>
      <c r="E154" s="118"/>
      <c r="F154" s="2"/>
      <c r="G154" s="119"/>
      <c r="H154" s="119"/>
      <c r="I154" s="120"/>
      <c r="J154" s="120"/>
    </row>
    <row r="155" spans="3:10" ht="15.75">
      <c r="C155" s="2"/>
      <c r="D155" s="118"/>
      <c r="E155" s="118"/>
      <c r="F155" s="121"/>
      <c r="G155" s="119"/>
      <c r="H155" s="119"/>
      <c r="I155" s="120"/>
      <c r="J155" s="120"/>
    </row>
    <row r="156" spans="3:10" ht="15.75">
      <c r="C156" s="2"/>
      <c r="D156" s="118"/>
      <c r="E156" s="118"/>
      <c r="F156" s="2"/>
      <c r="G156" s="119"/>
      <c r="H156" s="119"/>
      <c r="I156" s="120"/>
      <c r="J156" s="120"/>
    </row>
    <row r="157" spans="3:10" ht="15.75">
      <c r="C157" s="2"/>
      <c r="D157" s="118"/>
      <c r="E157" s="118"/>
      <c r="F157" s="2"/>
      <c r="G157" s="119"/>
      <c r="H157" s="119"/>
      <c r="I157" s="120"/>
      <c r="J157" s="120"/>
    </row>
    <row r="158" spans="3:10" ht="15.75">
      <c r="C158" s="2"/>
      <c r="D158" s="118"/>
      <c r="E158" s="118"/>
      <c r="F158" s="2"/>
      <c r="G158" s="119"/>
      <c r="H158" s="119"/>
      <c r="I158" s="120"/>
      <c r="J158" s="120"/>
    </row>
    <row r="159" spans="3:10" ht="15.75">
      <c r="C159" s="2"/>
      <c r="D159" s="118"/>
      <c r="E159" s="118"/>
      <c r="F159" s="2"/>
      <c r="G159" s="119"/>
      <c r="H159" s="119"/>
      <c r="I159" s="120"/>
      <c r="J159" s="120"/>
    </row>
    <row r="160" spans="3:10" ht="15.75">
      <c r="C160" s="2"/>
      <c r="D160" s="118"/>
      <c r="E160" s="118"/>
      <c r="F160" s="2"/>
      <c r="G160" s="119"/>
      <c r="H160" s="119"/>
      <c r="I160" s="120"/>
      <c r="J160" s="120"/>
    </row>
    <row r="161" spans="3:10" ht="15.75">
      <c r="C161" s="2"/>
      <c r="D161" s="118"/>
      <c r="E161" s="118"/>
      <c r="F161" s="2"/>
      <c r="G161" s="119"/>
      <c r="H161" s="119"/>
      <c r="I161" s="120"/>
      <c r="J161" s="120"/>
    </row>
    <row r="162" spans="3:10" ht="15.75">
      <c r="C162" s="2"/>
      <c r="D162" s="118"/>
      <c r="E162" s="118"/>
      <c r="F162" s="2"/>
      <c r="G162" s="119"/>
      <c r="H162" s="119"/>
      <c r="I162" s="120"/>
      <c r="J162" s="120"/>
    </row>
    <row r="163" spans="3:10" ht="15.75">
      <c r="C163" s="2"/>
      <c r="D163" s="118"/>
      <c r="E163" s="118"/>
      <c r="F163" s="2"/>
      <c r="G163" s="119"/>
      <c r="H163" s="119"/>
      <c r="I163" s="120"/>
      <c r="J163" s="120"/>
    </row>
    <row r="164" spans="3:10" ht="15.75">
      <c r="C164" s="2"/>
      <c r="D164" s="118"/>
      <c r="E164" s="118"/>
      <c r="F164" s="2"/>
      <c r="G164" s="119"/>
      <c r="H164" s="119"/>
      <c r="I164" s="120"/>
      <c r="J164" s="120"/>
    </row>
    <row r="165" spans="3:10" ht="15.75">
      <c r="C165" s="2"/>
      <c r="D165" s="118"/>
      <c r="E165" s="118"/>
      <c r="F165" s="2"/>
      <c r="G165" s="119"/>
      <c r="H165" s="119"/>
      <c r="I165" s="120"/>
      <c r="J165" s="120"/>
    </row>
    <row r="166" spans="3:10" ht="15.75">
      <c r="C166" s="2"/>
      <c r="D166" s="118"/>
      <c r="E166" s="118"/>
      <c r="F166" s="2"/>
      <c r="G166" s="119"/>
      <c r="H166" s="119"/>
      <c r="I166" s="120"/>
      <c r="J166" s="120"/>
    </row>
    <row r="167" spans="3:10" ht="15.75">
      <c r="C167" s="2"/>
      <c r="D167" s="118"/>
      <c r="E167" s="118"/>
      <c r="F167" s="2"/>
      <c r="G167" s="119"/>
      <c r="H167" s="119"/>
      <c r="I167" s="120"/>
      <c r="J167" s="120"/>
    </row>
    <row r="168" spans="3:10" ht="15.75">
      <c r="C168" s="2"/>
      <c r="D168" s="118"/>
      <c r="E168" s="118"/>
      <c r="F168" s="2"/>
      <c r="G168" s="119"/>
      <c r="H168" s="119"/>
      <c r="I168" s="120"/>
      <c r="J168" s="120"/>
    </row>
    <row r="169" spans="3:10" ht="15.75">
      <c r="C169" s="2"/>
      <c r="D169" s="118"/>
      <c r="E169" s="118"/>
      <c r="F169" s="2"/>
      <c r="G169" s="119"/>
      <c r="H169" s="119"/>
      <c r="I169" s="120"/>
      <c r="J169" s="120"/>
    </row>
    <row r="170" spans="3:10" ht="15.75">
      <c r="C170" s="2"/>
      <c r="D170" s="118"/>
      <c r="E170" s="118"/>
      <c r="F170" s="2"/>
      <c r="G170" s="119"/>
      <c r="H170" s="119"/>
      <c r="I170" s="120"/>
      <c r="J170" s="120"/>
    </row>
    <row r="171" spans="3:10" ht="15.75">
      <c r="C171" s="2"/>
      <c r="D171" s="118"/>
      <c r="E171" s="118"/>
      <c r="F171" s="2"/>
      <c r="G171" s="119"/>
      <c r="H171" s="119"/>
      <c r="I171" s="120"/>
      <c r="J171" s="120"/>
    </row>
    <row r="172" spans="3:10" ht="15.75">
      <c r="C172" s="2"/>
      <c r="D172" s="118"/>
      <c r="E172" s="118"/>
      <c r="F172" s="2"/>
      <c r="G172" s="119"/>
      <c r="H172" s="119"/>
      <c r="I172" s="120"/>
      <c r="J172" s="120"/>
    </row>
    <row r="173" spans="3:10" ht="15.75">
      <c r="C173" s="2"/>
      <c r="D173" s="118"/>
      <c r="E173" s="118"/>
      <c r="F173" s="2"/>
      <c r="G173" s="119"/>
      <c r="H173" s="119"/>
      <c r="I173" s="120"/>
      <c r="J173" s="120"/>
    </row>
    <row r="174" spans="3:10" ht="15.75">
      <c r="C174" s="2"/>
      <c r="D174" s="118"/>
      <c r="E174" s="118"/>
      <c r="F174" s="2"/>
      <c r="G174" s="119"/>
      <c r="H174" s="119"/>
      <c r="I174" s="120"/>
      <c r="J174" s="120"/>
    </row>
    <row r="175" spans="3:10" ht="15.75">
      <c r="C175" s="2"/>
      <c r="D175" s="118"/>
      <c r="E175" s="118"/>
      <c r="F175" s="2"/>
      <c r="G175" s="119"/>
      <c r="H175" s="119"/>
      <c r="I175" s="120"/>
      <c r="J175" s="120"/>
    </row>
    <row r="176" spans="3:10" ht="15.75">
      <c r="C176" s="2"/>
      <c r="D176" s="118"/>
      <c r="E176" s="118"/>
      <c r="F176" s="2"/>
      <c r="G176" s="119"/>
      <c r="H176" s="119"/>
      <c r="I176" s="120"/>
      <c r="J176" s="120"/>
    </row>
    <row r="177" spans="3:10" ht="15.75">
      <c r="C177" s="2"/>
      <c r="D177" s="118"/>
      <c r="E177" s="118"/>
      <c r="F177" s="2"/>
      <c r="G177" s="119"/>
      <c r="H177" s="119"/>
      <c r="I177" s="120"/>
      <c r="J177" s="120"/>
    </row>
    <row r="178" spans="3:10" ht="15.75">
      <c r="C178" s="2"/>
      <c r="D178" s="118"/>
      <c r="E178" s="118"/>
      <c r="F178" s="2"/>
      <c r="G178" s="119"/>
      <c r="H178" s="119"/>
      <c r="I178" s="120"/>
      <c r="J178" s="120"/>
    </row>
    <row r="179" spans="3:10" ht="15.75">
      <c r="C179" s="2"/>
      <c r="D179" s="118"/>
      <c r="E179" s="118"/>
      <c r="F179" s="2"/>
      <c r="G179" s="119"/>
      <c r="H179" s="119"/>
      <c r="I179" s="120"/>
      <c r="J179" s="120"/>
    </row>
    <row r="180" spans="3:10" ht="15.75">
      <c r="C180" s="2"/>
      <c r="D180" s="118"/>
      <c r="E180" s="118"/>
      <c r="F180" s="2"/>
      <c r="G180" s="119"/>
      <c r="H180" s="119"/>
      <c r="I180" s="120"/>
      <c r="J180" s="120"/>
    </row>
    <row r="181" spans="3:10" ht="15.75">
      <c r="C181" s="2"/>
      <c r="D181" s="118"/>
      <c r="E181" s="118"/>
      <c r="F181" s="121"/>
      <c r="G181" s="119"/>
      <c r="H181" s="119"/>
      <c r="I181" s="120"/>
      <c r="J181" s="120"/>
    </row>
    <row r="182" spans="3:10" ht="15.75">
      <c r="C182" s="2"/>
      <c r="D182" s="118"/>
      <c r="E182" s="118"/>
      <c r="F182" s="2"/>
      <c r="G182" s="119"/>
      <c r="H182" s="119"/>
      <c r="I182" s="120"/>
      <c r="J182" s="120"/>
    </row>
    <row r="183" spans="3:10" ht="15.75">
      <c r="C183" s="2"/>
      <c r="D183" s="118"/>
      <c r="E183" s="118"/>
      <c r="F183" s="2"/>
      <c r="G183" s="119"/>
      <c r="H183" s="119"/>
      <c r="I183" s="120"/>
      <c r="J183" s="120"/>
    </row>
    <row r="184" spans="3:10" ht="15.75">
      <c r="C184" s="2"/>
      <c r="D184" s="118"/>
      <c r="E184" s="118"/>
      <c r="F184" s="2"/>
      <c r="G184" s="119"/>
      <c r="H184" s="119"/>
      <c r="I184" s="120"/>
      <c r="J184" s="120"/>
    </row>
    <row r="185" spans="3:10" ht="15.75">
      <c r="C185" s="2"/>
      <c r="D185" s="118"/>
      <c r="E185" s="118"/>
      <c r="F185" s="2"/>
      <c r="G185" s="119"/>
      <c r="H185" s="119"/>
      <c r="I185" s="120"/>
      <c r="J185" s="120"/>
    </row>
    <row r="186" spans="3:10" ht="15.75">
      <c r="C186" s="2"/>
      <c r="D186" s="118"/>
      <c r="E186" s="118"/>
      <c r="F186" s="2"/>
      <c r="G186" s="119"/>
      <c r="H186" s="119"/>
      <c r="I186" s="120"/>
      <c r="J186" s="120"/>
    </row>
    <row r="187" spans="3:10" ht="15.75">
      <c r="C187" s="2"/>
      <c r="D187" s="118"/>
      <c r="E187" s="118"/>
      <c r="F187" s="2"/>
      <c r="G187" s="119"/>
      <c r="H187" s="119"/>
      <c r="I187" s="120"/>
      <c r="J187" s="120"/>
    </row>
    <row r="195" ht="15.75">
      <c r="F195" s="122"/>
    </row>
    <row r="204" ht="15.75">
      <c r="F204" s="122"/>
    </row>
    <row r="210" ht="15.75">
      <c r="F210" s="122"/>
    </row>
    <row r="213" ht="15.75">
      <c r="F213" s="122"/>
    </row>
    <row r="216" ht="15.75">
      <c r="F216" s="123"/>
    </row>
    <row r="224" ht="15.75">
      <c r="F224" s="122"/>
    </row>
    <row r="226" ht="15.75">
      <c r="F226" s="124"/>
    </row>
    <row r="228" ht="15.75">
      <c r="F228" s="125"/>
    </row>
    <row r="229" ht="15.75">
      <c r="F229" s="125"/>
    </row>
    <row r="232" ht="15.75">
      <c r="F232" s="5"/>
    </row>
    <row r="233" ht="15.75">
      <c r="F233" s="126"/>
    </row>
    <row r="234" ht="15.75">
      <c r="F234" s="6"/>
    </row>
    <row r="235" ht="15.75">
      <c r="F235" s="6"/>
    </row>
    <row r="236" ht="15.75">
      <c r="F236" s="6"/>
    </row>
    <row r="237" ht="15.75">
      <c r="F237" s="6"/>
    </row>
    <row r="238" ht="15.75">
      <c r="F238" s="6"/>
    </row>
    <row r="239" ht="15.75">
      <c r="F239" s="6"/>
    </row>
    <row r="240" ht="15.75">
      <c r="F240" s="6"/>
    </row>
    <row r="241" ht="15.75">
      <c r="F241" s="6"/>
    </row>
    <row r="242" ht="15.75">
      <c r="F242" s="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</sheetData>
  <sheetProtection selectLockedCells="1" selectUnlockedCells="1"/>
  <mergeCells count="19">
    <mergeCell ref="C132:H132"/>
    <mergeCell ref="B144:D144"/>
    <mergeCell ref="C2:K2"/>
    <mergeCell ref="A105:B105"/>
    <mergeCell ref="C105:H105"/>
    <mergeCell ref="A116:B116"/>
    <mergeCell ref="C116:H116"/>
    <mergeCell ref="A126:B126"/>
    <mergeCell ref="C126:H126"/>
    <mergeCell ref="C44:H44"/>
    <mergeCell ref="A48:B48"/>
    <mergeCell ref="A82:B82"/>
    <mergeCell ref="D82:F82"/>
    <mergeCell ref="A98:B98"/>
    <mergeCell ref="C98:H98"/>
    <mergeCell ref="C1:K1"/>
    <mergeCell ref="C5:H5"/>
    <mergeCell ref="A16:B16"/>
    <mergeCell ref="C16:H16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96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2" t="s">
        <v>409</v>
      </c>
      <c r="F1" s="152"/>
      <c r="G1" s="152"/>
      <c r="H1" s="152"/>
    </row>
    <row r="2" spans="5:8" ht="12.75" customHeight="1">
      <c r="E2" s="153" t="s">
        <v>410</v>
      </c>
      <c r="F2" s="153"/>
      <c r="G2" s="153"/>
      <c r="H2" s="153"/>
    </row>
    <row r="3" spans="5:9" ht="12.75" customHeight="1">
      <c r="E3" s="153" t="s">
        <v>411</v>
      </c>
      <c r="F3" s="153"/>
      <c r="G3" s="153"/>
      <c r="H3" s="153"/>
      <c r="I3" s="153"/>
    </row>
    <row r="4" spans="5:8" ht="12.75" customHeight="1">
      <c r="E4" s="153" t="s">
        <v>412</v>
      </c>
      <c r="F4" s="153"/>
      <c r="G4" s="153"/>
      <c r="H4" s="153"/>
    </row>
    <row r="5" spans="5:8" ht="12.75" customHeight="1">
      <c r="E5" s="153" t="s">
        <v>413</v>
      </c>
      <c r="F5" s="153"/>
      <c r="G5" s="153"/>
      <c r="H5" s="153"/>
    </row>
    <row r="6" spans="5:8" ht="12.75" customHeight="1">
      <c r="E6" s="153" t="s">
        <v>414</v>
      </c>
      <c r="F6" s="153"/>
      <c r="G6" s="153"/>
      <c r="H6" s="153"/>
    </row>
    <row r="7" spans="5:8" ht="12.75" customHeight="1">
      <c r="E7" s="153" t="s">
        <v>415</v>
      </c>
      <c r="F7" s="153"/>
      <c r="G7" s="153"/>
      <c r="H7" s="153"/>
    </row>
    <row r="8" spans="5:8" ht="12.75" customHeight="1">
      <c r="E8" s="153" t="s">
        <v>416</v>
      </c>
      <c r="F8" s="153"/>
      <c r="G8" s="153"/>
      <c r="H8" s="153"/>
    </row>
    <row r="9" spans="1:9" ht="30" customHeight="1">
      <c r="A9" s="132" t="s">
        <v>417</v>
      </c>
      <c r="B9" s="132"/>
      <c r="C9" s="132"/>
      <c r="D9" s="132"/>
      <c r="E9" s="132"/>
      <c r="F9" s="132"/>
      <c r="G9" s="132"/>
      <c r="H9" s="132"/>
      <c r="I9" s="132"/>
    </row>
    <row r="10" spans="1:8" ht="15.75" customHeight="1">
      <c r="A10"/>
      <c r="B10"/>
      <c r="C10" s="9"/>
      <c r="D10" s="133" t="s">
        <v>2</v>
      </c>
      <c r="E10" s="133"/>
      <c r="F10" s="133"/>
      <c r="G10" s="133"/>
      <c r="H10" s="133"/>
    </row>
    <row r="11" spans="1:8" ht="15.75" hidden="1">
      <c r="A11" s="134"/>
      <c r="B11" s="134"/>
      <c r="C11" s="134"/>
      <c r="D11" s="134"/>
      <c r="E11" s="134"/>
      <c r="F11" s="134"/>
      <c r="G11" s="134"/>
      <c r="H11" s="134"/>
    </row>
    <row r="12" spans="1:9" ht="34.5" customHeight="1">
      <c r="A12" s="135" t="s">
        <v>3</v>
      </c>
      <c r="B12" s="135" t="s">
        <v>4</v>
      </c>
      <c r="C12" s="136" t="s">
        <v>5</v>
      </c>
      <c r="D12" s="137" t="s">
        <v>6</v>
      </c>
      <c r="E12" s="137" t="s">
        <v>7</v>
      </c>
      <c r="F12" s="136" t="s">
        <v>8</v>
      </c>
      <c r="G12" s="11" t="s">
        <v>9</v>
      </c>
      <c r="H12" s="11" t="s">
        <v>10</v>
      </c>
      <c r="I12" s="138" t="s">
        <v>418</v>
      </c>
    </row>
    <row r="13" spans="1:9" ht="15" customHeight="1">
      <c r="A13" s="135"/>
      <c r="B13" s="135"/>
      <c r="C13" s="136"/>
      <c r="D13" s="137"/>
      <c r="E13" s="137"/>
      <c r="F13" s="136"/>
      <c r="G13" s="138" t="s">
        <v>11</v>
      </c>
      <c r="H13" s="138"/>
      <c r="I13" s="138"/>
    </row>
    <row r="14" spans="1:9" ht="15.75">
      <c r="A14" s="135"/>
      <c r="B14" s="135"/>
      <c r="C14" s="136"/>
      <c r="D14" s="137"/>
      <c r="E14" s="137"/>
      <c r="F14" s="136"/>
      <c r="G14" s="138">
        <v>559.4</v>
      </c>
      <c r="H14" s="138"/>
      <c r="I14" s="138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39" t="s">
        <v>25</v>
      </c>
      <c r="B23" s="139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39" t="s">
        <v>31</v>
      </c>
      <c r="B25" s="139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40" t="s">
        <v>46</v>
      </c>
      <c r="B31" s="140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39" t="s">
        <v>55</v>
      </c>
      <c r="B35" s="139"/>
      <c r="C35" s="139"/>
      <c r="D35" s="139"/>
      <c r="E35" s="139"/>
      <c r="F35" s="139"/>
      <c r="G35" s="21">
        <v>9</v>
      </c>
      <c r="H35" s="16"/>
      <c r="I35" s="16"/>
    </row>
    <row r="36" spans="1:9" ht="12.75" customHeight="1" hidden="1">
      <c r="A36" s="139" t="s">
        <v>56</v>
      </c>
      <c r="B36" s="139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39" t="s">
        <v>31</v>
      </c>
      <c r="B53" s="139"/>
      <c r="C53" s="22"/>
      <c r="D53" s="141" t="s">
        <v>98</v>
      </c>
      <c r="E53" s="141"/>
      <c r="F53" s="141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39" t="s">
        <v>101</v>
      </c>
      <c r="B55" s="139"/>
      <c r="C55" s="22"/>
      <c r="D55" s="141" t="s">
        <v>102</v>
      </c>
      <c r="E55" s="141"/>
      <c r="F55" s="141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39" t="s">
        <v>112</v>
      </c>
      <c r="B59" s="139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39" t="s">
        <v>125</v>
      </c>
      <c r="B63" s="139"/>
      <c r="C63" s="139"/>
      <c r="D63" s="139"/>
      <c r="E63" s="139"/>
      <c r="F63" s="139"/>
      <c r="G63" s="21">
        <v>9</v>
      </c>
      <c r="H63" s="16"/>
      <c r="I63" s="16"/>
    </row>
    <row r="64" spans="1:9" ht="12.75" customHeight="1" hidden="1">
      <c r="A64" s="139" t="s">
        <v>126</v>
      </c>
      <c r="B64" s="139"/>
      <c r="C64" s="22"/>
      <c r="D64" s="141" t="s">
        <v>127</v>
      </c>
      <c r="E64" s="141"/>
      <c r="F64" s="141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39" t="s">
        <v>131</v>
      </c>
      <c r="B66" s="139"/>
      <c r="C66" s="22"/>
      <c r="D66" s="141" t="s">
        <v>132</v>
      </c>
      <c r="E66" s="141"/>
      <c r="F66" s="141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39" t="s">
        <v>137</v>
      </c>
      <c r="B68" s="139"/>
      <c r="C68" s="30"/>
      <c r="D68" s="141" t="s">
        <v>138</v>
      </c>
      <c r="E68" s="141"/>
      <c r="F68" s="141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39" t="s">
        <v>150</v>
      </c>
      <c r="B73" s="139"/>
      <c r="C73" s="22"/>
      <c r="D73" s="141" t="s">
        <v>151</v>
      </c>
      <c r="E73" s="141"/>
      <c r="F73" s="141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42" t="s">
        <v>163</v>
      </c>
      <c r="E79" s="142"/>
      <c r="F79" s="142"/>
      <c r="G79" s="142"/>
      <c r="H79" s="142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39" t="s">
        <v>167</v>
      </c>
      <c r="C83" s="139"/>
      <c r="D83" s="139"/>
      <c r="E83" s="139"/>
      <c r="F83" s="139"/>
      <c r="G83" s="42">
        <v>9</v>
      </c>
      <c r="H83" s="36"/>
      <c r="I83" s="16"/>
    </row>
    <row r="84" spans="1:9" ht="15.75" customHeight="1">
      <c r="A84" s="139" t="s">
        <v>25</v>
      </c>
      <c r="B84" s="139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39" t="s">
        <v>56</v>
      </c>
      <c r="B86" s="139"/>
      <c r="C86" s="22"/>
      <c r="D86" s="141" t="s">
        <v>32</v>
      </c>
      <c r="E86" s="141"/>
      <c r="F86" s="141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39" t="s">
        <v>126</v>
      </c>
      <c r="B99" s="139"/>
      <c r="C99" s="22"/>
      <c r="D99" s="141" t="s">
        <v>47</v>
      </c>
      <c r="E99" s="141"/>
      <c r="F99" s="141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39" t="s">
        <v>131</v>
      </c>
      <c r="B101" s="139"/>
      <c r="C101" s="22"/>
      <c r="D101" s="141" t="s">
        <v>192</v>
      </c>
      <c r="E101" s="141"/>
      <c r="F101" s="141"/>
      <c r="G101" s="21">
        <v>9</v>
      </c>
      <c r="H101" s="21"/>
      <c r="I101" s="127"/>
    </row>
    <row r="102" spans="1:9" ht="15.75" customHeight="1">
      <c r="A102" s="24"/>
      <c r="B102" s="139" t="s">
        <v>193</v>
      </c>
      <c r="C102" s="139"/>
      <c r="D102" s="139"/>
      <c r="E102" s="139"/>
      <c r="F102" s="139"/>
      <c r="G102" s="21">
        <v>9</v>
      </c>
      <c r="H102" s="16"/>
      <c r="I102" s="127"/>
    </row>
    <row r="103" spans="1:9" ht="15.75" customHeight="1">
      <c r="A103" s="139" t="s">
        <v>25</v>
      </c>
      <c r="B103" s="139"/>
      <c r="C103" s="22"/>
      <c r="D103" s="141" t="s">
        <v>194</v>
      </c>
      <c r="E103" s="141"/>
      <c r="F103" s="141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39" t="s">
        <v>31</v>
      </c>
      <c r="B106" s="139"/>
      <c r="C106" s="22"/>
      <c r="D106" s="141" t="s">
        <v>199</v>
      </c>
      <c r="E106" s="141"/>
      <c r="F106" s="141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15.75" customHeight="1">
      <c r="A120" s="139" t="s">
        <v>55</v>
      </c>
      <c r="B120" s="139"/>
      <c r="C120" s="139"/>
      <c r="D120" s="139"/>
      <c r="E120" s="139"/>
      <c r="F120" s="139"/>
      <c r="G120" s="21">
        <v>9</v>
      </c>
      <c r="H120" s="16"/>
      <c r="I120" s="127"/>
    </row>
    <row r="121" spans="1:9" ht="15.75" customHeight="1">
      <c r="A121" s="139" t="s">
        <v>25</v>
      </c>
      <c r="B121" s="139"/>
      <c r="C121" s="22"/>
      <c r="D121" s="141" t="s">
        <v>57</v>
      </c>
      <c r="E121" s="141"/>
      <c r="F121" s="141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39" t="s">
        <v>31</v>
      </c>
      <c r="B125" s="139"/>
      <c r="C125" s="22"/>
      <c r="D125" s="141" t="s">
        <v>98</v>
      </c>
      <c r="E125" s="141"/>
      <c r="F125" s="141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39" t="s">
        <v>101</v>
      </c>
      <c r="B136" s="139"/>
      <c r="C136" s="22"/>
      <c r="D136" s="141" t="s">
        <v>102</v>
      </c>
      <c r="E136" s="141"/>
      <c r="F136" s="141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39"/>
      <c r="B142" s="139"/>
      <c r="C142" s="22"/>
      <c r="D142" s="141" t="s">
        <v>113</v>
      </c>
      <c r="E142" s="141"/>
      <c r="F142" s="141"/>
      <c r="G142" s="21">
        <v>9</v>
      </c>
      <c r="H142" s="16"/>
      <c r="I142" s="127"/>
    </row>
    <row r="143" spans="1:9" ht="15.75" customHeight="1">
      <c r="A143" s="139" t="s">
        <v>25</v>
      </c>
      <c r="B143" s="139"/>
      <c r="C143" s="22"/>
      <c r="D143" s="141" t="s">
        <v>113</v>
      </c>
      <c r="E143" s="141"/>
      <c r="F143" s="141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39" t="s">
        <v>125</v>
      </c>
      <c r="B154" s="139"/>
      <c r="C154" s="139"/>
      <c r="D154" s="139"/>
      <c r="E154" s="139"/>
      <c r="F154" s="139"/>
      <c r="G154" s="21">
        <v>9</v>
      </c>
      <c r="H154" s="16"/>
      <c r="I154" s="127"/>
    </row>
    <row r="155" spans="1:9" ht="15.75" customHeight="1">
      <c r="A155" s="139" t="s">
        <v>25</v>
      </c>
      <c r="B155" s="139"/>
      <c r="C155" s="22"/>
      <c r="D155" s="141" t="s">
        <v>127</v>
      </c>
      <c r="E155" s="141"/>
      <c r="F155" s="141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39" t="s">
        <v>101</v>
      </c>
      <c r="B165" s="139"/>
      <c r="C165" s="22"/>
      <c r="D165" s="141" t="s">
        <v>138</v>
      </c>
      <c r="E165" s="141"/>
      <c r="F165" s="141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39" t="s">
        <v>46</v>
      </c>
      <c r="B173" s="139"/>
      <c r="C173" s="22"/>
      <c r="D173" s="141" t="s">
        <v>151</v>
      </c>
      <c r="E173" s="141"/>
      <c r="F173" s="141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39" t="s">
        <v>56</v>
      </c>
      <c r="B182" s="139"/>
      <c r="C182" s="22"/>
      <c r="D182" s="141" t="s">
        <v>297</v>
      </c>
      <c r="E182" s="141"/>
      <c r="F182" s="141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2011-02-02T05:35:32Z</cp:lastPrinted>
  <dcterms:created xsi:type="dcterms:W3CDTF">2010-12-27T12:04:59Z</dcterms:created>
  <dcterms:modified xsi:type="dcterms:W3CDTF">2011-02-02T07:35:26Z</dcterms:modified>
  <cp:category/>
  <cp:version/>
  <cp:contentType/>
  <cp:contentStatus/>
</cp:coreProperties>
</file>