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<sst xmlns="http://schemas.openxmlformats.org/spreadsheetml/2006/main" count="1471" uniqueCount="468">
  <si>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</si>
  <si>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</si>
  <si>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</si>
  <si>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</si>
  <si>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</si>
  <si>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</si>
  <si>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</si>
  <si>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</si>
  <si>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</si>
  <si>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</si>
  <si>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</si>
  <si>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</si>
  <si>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</si>
  <si>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</si>
  <si>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</si>
  <si>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</si>
  <si>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</si>
  <si>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</si>
  <si>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</si>
  <si>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</si>
  <si>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</si>
  <si>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</si>
  <si>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</si>
  <si>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</si>
  <si>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</si>
  <si>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</si>
  <si>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</si>
  <si>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</si>
  <si>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</si>
  <si>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</si>
  <si>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</si>
  <si>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</si>
  <si>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</si>
  <si>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</si>
  <si>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</si>
  <si>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</si>
  <si>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</si>
  <si>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</si>
  <si>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</si>
  <si>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</si>
  <si>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</si>
  <si>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</si>
  <si>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</si>
  <si>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</si>
  <si>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</si>
  <si>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</si>
  <si>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</si>
  <si>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</si>
  <si>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</si>
  <si>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</si>
  <si>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</si>
  <si>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</si>
  <si>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</si>
  <si>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</si>
  <si>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</si>
  <si>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</si>
  <si>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</si>
  <si>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</si>
  <si>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</si>
  <si>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</si>
  <si>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</si>
  <si>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</si>
  <si>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</si>
  <si>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</si>
  <si>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</si>
  <si>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</si>
  <si>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</si>
  <si>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</si>
  <si>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</si>
  <si>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</si>
  <si>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</si>
  <si>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</si>
  <si>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</si>
  <si>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</si>
  <si>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</si>
  <si>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</si>
  <si>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</si>
  <si>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</si>
  <si>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</si>
  <si>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</si>
  <si>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</si>
  <si>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</si>
  <si>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</si>
  <si>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</si>
  <si>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</si>
  <si>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</si>
  <si>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</si>
  <si>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</si>
  <si>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</si>
  <si>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</si>
  <si>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</si>
  <si>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</si>
  <si>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</si>
  <si>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</si>
  <si>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</si>
  <si>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</si>
  <si>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</si>
  <si>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</si>
  <si>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</si>
  <si>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</si>
  <si>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</si>
  <si>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</si>
  <si>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</si>
  <si>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</si>
  <si>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</si>
  <si>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</si>
  <si>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</si>
  <si>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</si>
  <si>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</si>
  <si>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</si>
  <si>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</si>
  <si>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</si>
  <si>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</si>
  <si>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</si>
  <si>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</si>
  <si>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</si>
  <si>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</si>
  <si>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</si>
  <si>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</si>
  <si>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</si>
  <si>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</si>
  <si>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</si>
  <si>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</si>
  <si>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</si>
  <si>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</si>
  <si>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</si>
  <si>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</si>
  <si>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</si>
  <si>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</si>
  <si>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</si>
  <si>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</si>
  <si>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</si>
  <si>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</si>
  <si>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</si>
  <si>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</si>
  <si>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</si>
  <si>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</si>
  <si>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</si>
  <si>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</si>
  <si>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</si>
  <si>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</si>
  <si>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</si>
  <si>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</si>
  <si>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</si>
  <si>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</si>
  <si>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</si>
  <si>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</si>
  <si>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</si>
  <si>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</si>
  <si>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</si>
  <si>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</si>
  <si>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</si>
  <si>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</si>
  <si>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</si>
  <si>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</si>
  <si>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</si>
  <si>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</si>
  <si>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</si>
  <si>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</si>
  <si>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</si>
  <si>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</si>
  <si>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</si>
  <si>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</si>
  <si>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</si>
  <si>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</si>
  <si>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</si>
  <si>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</si>
  <si>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</si>
  <si>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</si>
  <si>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</si>
  <si>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</si>
  <si>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</si>
  <si>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</si>
  <si>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</si>
  <si>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</si>
  <si>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</si>
  <si>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</si>
  <si>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</si>
  <si>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</si>
  <si>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</si>
  <si>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</si>
  <si>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</si>
  <si>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</si>
  <si>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</si>
  <si>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</si>
  <si>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</si>
  <si>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</si>
  <si>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</si>
  <si>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</si>
  <si>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</si>
  <si>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</si>
  <si>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</si>
  <si>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</si>
  <si>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</si>
  <si>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</si>
  <si>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</si>
  <si>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</si>
  <si>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</si>
  <si>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</si>
  <si>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</si>
  <si>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</si>
  <si>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</si>
  <si>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</si>
  <si>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</si>
  <si>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</si>
  <si>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</si>
  <si>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</si>
  <si>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</si>
  <si>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</si>
  <si>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</si>
  <si>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</si>
  <si>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</si>
  <si>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</si>
  <si>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</si>
  <si>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</si>
  <si>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</si>
  <si>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</si>
  <si>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</si>
  <si>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</si>
  <si>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</si>
  <si>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</si>
  <si>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</si>
  <si>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</si>
  <si>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</si>
  <si>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</si>
  <si>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</si>
  <si>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</si>
  <si>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</si>
  <si>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</si>
  <si>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</si>
  <si>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</si>
  <si>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</si>
  <si>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</si>
  <si>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</si>
  <si>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</si>
  <si>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</si>
  <si>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</si>
  <si>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</si>
  <si>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</si>
  <si>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</si>
  <si>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</si>
  <si>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</si>
  <si>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</si>
  <si>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</si>
  <si>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</si>
  <si>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</si>
  <si>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</si>
  <si>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</si>
  <si>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</si>
  <si>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</si>
  <si>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</si>
  <si>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</si>
  <si>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</si>
  <si>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</si>
  <si>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</si>
  <si>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</si>
  <si>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</si>
  <si>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</si>
  <si>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</si>
  <si>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</si>
  <si>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</si>
  <si>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</si>
  <si>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</si>
  <si>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</si>
  <si>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</si>
  <si>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</si>
  <si>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</si>
  <si>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</si>
  <si>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</si>
  <si>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</si>
  <si>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</si>
  <si>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</si>
  <si>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</si>
  <si>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</si>
  <si>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</si>
  <si>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</si>
  <si>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</si>
  <si>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</si>
  <si>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</si>
  <si>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</si>
  <si>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</si>
  <si>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</si>
  <si>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</si>
  <si>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</si>
  <si>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</si>
  <si>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</si>
  <si>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</si>
  <si>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</si>
  <si>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</si>
  <si>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</si>
  <si>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</si>
  <si>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</si>
  <si>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</si>
  <si>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</si>
  <si>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</si>
  <si>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</si>
  <si>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</si>
  <si>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</si>
  <si>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</si>
  <si>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</si>
  <si>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 xml:space="preserve">Отчет выполненных работ по управлению, содержанию и текущему ремонту общего имушества многоквартирного дома </t>
  </si>
  <si>
    <t>по ул. Малышева 24  в период с 01.01.2010 по 31.12.2010 г.</t>
  </si>
  <si>
    <t>Объем</t>
  </si>
  <si>
    <t>Повтор в течении отчетного периода</t>
  </si>
  <si>
    <t>Стоимость с НДС, руб.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</si>
  <si>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</si>
  <si>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</si>
  <si>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</si>
  <si>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Обслуживание тепловых узлов</t>
  </si>
  <si>
    <t>узел</t>
  </si>
  <si>
    <t>Техническое обслуживание газового оборудования</t>
  </si>
  <si>
    <t>кв.</t>
  </si>
  <si>
    <t>Обслуживание мусоропровода</t>
  </si>
  <si>
    <t>под.</t>
  </si>
  <si>
    <t>Дезинфекция, дезинсекция</t>
  </si>
  <si>
    <t>Обслуживание лифтового оборудования</t>
  </si>
  <si>
    <t>Освидетельствование лифтового оборудования</t>
  </si>
  <si>
    <t>лифт</t>
  </si>
  <si>
    <t>Расходы на управление домом</t>
  </si>
  <si>
    <t>Расходы на РКЦ</t>
  </si>
  <si>
    <t>1 раз в месяц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</si>
  <si>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</si>
  <si>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</si>
  <si>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</si>
  <si>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Ремонт  отдельных мест покрытия из асбоцементных листов усиленного профиля</t>
  </si>
  <si>
    <t>Ремонт отдельными местами рулонного покрытия  кровли  наплавляемыми материалами</t>
  </si>
  <si>
    <t>Очистка кровли от мусора</t>
  </si>
  <si>
    <t>Очистка кровли от снега,фановых труб от наледи</t>
  </si>
  <si>
    <t>100м2</t>
  </si>
  <si>
    <t>Очистка козырьков от снега и наледи</t>
  </si>
  <si>
    <t>Сдвигание снега и скола сброшенного с крыш</t>
  </si>
  <si>
    <t>СТЕНЫ, ПОЛЫ</t>
  </si>
  <si>
    <t>18</t>
  </si>
  <si>
    <t>Устройство подстилающих слоев бетонных тамбурной площадки</t>
  </si>
  <si>
    <t xml:space="preserve"> по объему в дефектной ведомости</t>
  </si>
  <si>
    <t>1</t>
  </si>
  <si>
    <t>19</t>
  </si>
  <si>
    <t>Заделка выбоин в полах цементных площадью до 0,5 м2</t>
  </si>
  <si>
    <t>шт.</t>
  </si>
  <si>
    <t>Устройство герметизации стеновых панелей пенополистиролом</t>
  </si>
  <si>
    <t>100 п.м.</t>
  </si>
  <si>
    <t>КРЫЛЬЦА</t>
  </si>
  <si>
    <t>Ремонт бетонного крыльца</t>
  </si>
  <si>
    <t xml:space="preserve">Ремонт оконных переплетов </t>
  </si>
  <si>
    <t xml:space="preserve">Заделка подвальных и чердачных окон </t>
  </si>
  <si>
    <t xml:space="preserve">Ремонт дверных полотен со сменой петель </t>
  </si>
  <si>
    <t>Маслянная окраска окон (1 под.)</t>
  </si>
  <si>
    <t>Смена дверных приборов - замков(чердак)</t>
  </si>
  <si>
    <t>ПОДЪЕЗДЫ</t>
  </si>
  <si>
    <t>Окраска стен водоэмульсионными составами</t>
  </si>
  <si>
    <t>Ремонт металических перил</t>
  </si>
  <si>
    <t>Ремонт и покраска входов в подъезды (тамбуры)</t>
  </si>
  <si>
    <t>Косметический ремонт подъездов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</si>
  <si>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</si>
  <si>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</si>
  <si>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Устройство цементного пола в теплоузле</t>
  </si>
  <si>
    <t>РЕМОНТ И ОБСЛУЖИВАНИЕ ВНУТРИДОМОВОГО ИНЖЕНЕРНОГО ОБОРУДОВАНИЯ</t>
  </si>
  <si>
    <t>САНТЕХНИЧЕСКИЕ РАБОТЫ</t>
  </si>
  <si>
    <t>Контрольное снятие показаний ИПУ в квартирах</t>
  </si>
  <si>
    <t>Снятие показаний с общедомовых приборов учета (ХВС)</t>
  </si>
  <si>
    <t>1раз в месяц</t>
  </si>
  <si>
    <t xml:space="preserve">Ремонт общедомового сантехоборудования в квартирах (прочистка водопровода, прочистка и ремонт радиаторов отопления)              </t>
  </si>
  <si>
    <t>по мере необходимости в течении отчетного периода</t>
  </si>
  <si>
    <t xml:space="preserve">Смена трубопроводов водоснабжения из напорных полиэтиленовых труб диаметром 40 мм </t>
  </si>
  <si>
    <t>м</t>
  </si>
  <si>
    <t>Смена трубопроводов водоснабжения из напорных полиэтиленовых труб диаметром 20 мм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</si>
  <si>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</si>
  <si>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25</t>
  </si>
  <si>
    <t>Смена внутренних трубопроводов из стальных труб диаметром 32 мм</t>
  </si>
  <si>
    <t>Смена внутренних трубопроводов из стальных труб диаметром 57</t>
  </si>
  <si>
    <t>Смена внутренних трубопроводов из стальных труб диаметром 76</t>
  </si>
  <si>
    <t>Врезки в действуюшие сети трубопроводов отопления и водоснабжения диаметром 15</t>
  </si>
  <si>
    <t>врезка</t>
  </si>
  <si>
    <t>Врезки в действуюшие сети трубопроводов отопления и водоснабжения диаметром 20</t>
  </si>
  <si>
    <t>Врезки в действуюшие  сети трубопроводов отопления и водоснабжения диаметром 25 мм</t>
  </si>
  <si>
    <t>Врезки в действуюшие сети трубопроводов отопления и водоснабжения диаметром 32</t>
  </si>
  <si>
    <t>Врезки в действуюшие  сети трубопроводов отопления и водоснабжения диаметром 50 мм</t>
  </si>
  <si>
    <t>Смена арматуры вентелей диаметров до 32мм</t>
  </si>
  <si>
    <t>Смена арматуры вентелей диаметров до 25мм</t>
  </si>
  <si>
    <t>Смена арматуры вентелей диаметров до 20мм</t>
  </si>
  <si>
    <t>Смена арматуры вентелей диаметров до 15мм</t>
  </si>
  <si>
    <t>Ревизия вентилей</t>
  </si>
  <si>
    <t>Смена сгонов у трубороводов диаметром до 32 мм</t>
  </si>
  <si>
    <t>Смена сгонов у трубороводов диаметром до 25 мм</t>
  </si>
  <si>
    <t>Смена сгонов у трубороводов диаметром до 20 мм</t>
  </si>
  <si>
    <t>Ревизия вентелей без снятия с места</t>
  </si>
  <si>
    <t>Установка счетчиков ГВС и ХВС</t>
  </si>
  <si>
    <t>Ремонт  задвижек до 100 мм без снятия с места</t>
  </si>
  <si>
    <t>Замена частей канализационного стояка патрубка</t>
  </si>
  <si>
    <t>Замена канализационных труб  в подвале</t>
  </si>
  <si>
    <t>Врезки в действуюшие внутренние сети трубопроводов канализации диаметром 100 мм</t>
  </si>
  <si>
    <t>Очистка ливневой канализационной сети</t>
  </si>
  <si>
    <t>Промывка без дезинфекции трубопроводов диаметром 100 мм</t>
  </si>
  <si>
    <t>км</t>
  </si>
  <si>
    <t>Подчеканка раструбов</t>
  </si>
  <si>
    <t>Промывка системы центрального отопления дома</t>
  </si>
  <si>
    <t>м3 здания</t>
  </si>
  <si>
    <t>Слив и наполнение водой системы отопления без осмотра</t>
  </si>
  <si>
    <t>1000м3</t>
  </si>
  <si>
    <t>Смена крана «Маевского»</t>
  </si>
  <si>
    <t>Смена радиаторных пробок</t>
  </si>
  <si>
    <t>Установка общедомовых приборов учета</t>
  </si>
  <si>
    <t>компл.</t>
  </si>
  <si>
    <t>100 приборов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</si>
  <si>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</si>
  <si>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</si>
  <si>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</si>
  <si>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Смена светильников с лампами накаливания</t>
  </si>
  <si>
    <t>Смена розеток электрических</t>
  </si>
  <si>
    <t>Ремонт выключателей</t>
  </si>
  <si>
    <t>Установка патронов навесных</t>
  </si>
  <si>
    <t xml:space="preserve">Установка выключателей одноклавишных неутопленного типа 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</si>
  <si>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</si>
  <si>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</si>
  <si>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</si>
  <si>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 xml:space="preserve">Смена кабеля 2-4 жильного сечением жилы до 16 мм2 </t>
  </si>
  <si>
    <t xml:space="preserve">Смена автоматов </t>
  </si>
  <si>
    <t>Смена электросчетчиков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</si>
  <si>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</si>
  <si>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</si>
  <si>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</si>
  <si>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</si>
  <si>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Осмотр мягкой кровли</t>
  </si>
  <si>
    <t>Профилактический осмотр</t>
  </si>
  <si>
    <t>Сезонный осмотр элементов здания с внесением данных в паспорт готовности дома</t>
  </si>
  <si>
    <t>1 раза в год</t>
  </si>
  <si>
    <t>Подметание лестничных площадок и маршей с лифтами и мусоропроводом (до почтовых ящиков)</t>
  </si>
  <si>
    <t>уборка лестничных площадок и маршей (с 1-го по 5 эт.)</t>
  </si>
  <si>
    <t>Уборка лифтовых кабин</t>
  </si>
  <si>
    <t>Дезинфекция элементов ствола мусоропровода</t>
  </si>
  <si>
    <t>Дезинфекция переносных мусоросборников</t>
  </si>
  <si>
    <t>2 раза в летний период</t>
  </si>
  <si>
    <t>2 раза в неделю</t>
  </si>
  <si>
    <t>Погрузка и разгрузка веток, листьев, мусора, вывоз</t>
  </si>
  <si>
    <t>Уборка контейнерной площадки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</si>
  <si>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</si>
  <si>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</si>
  <si>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</si>
  <si>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</si>
  <si>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</si>
  <si>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</si>
  <si>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>Уборка контейнерной площадки в холодный период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</si>
  <si>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</si>
  <si>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</si>
  <si>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</si>
  <si>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t xml:space="preserve">Ремонт приемных клапанов мусоропровода </t>
  </si>
  <si>
    <t>Установка стендов в подъезды</t>
  </si>
  <si>
    <t>Ремонт детских архитектурных форм</t>
  </si>
  <si>
    <t>2</t>
  </si>
  <si>
    <t>Завоз торфа</t>
  </si>
  <si>
    <t>Изготовление и установка металлических ограждений</t>
  </si>
  <si>
    <t>100 мп.</t>
  </si>
  <si>
    <r>
      <t xml:space="preserve">ИТОГО ПО ОБЯЗАТЕЛЬНЫМ РАБОТАМ И УСЛУГАМ                     </t>
    </r>
    <r>
      <rPr>
        <i/>
        <sz val="10"/>
        <rFont val="Arial"/>
        <family val="2"/>
      </rPr>
      <t xml:space="preserve">руб. </t>
    </r>
    <r>
      <rPr>
        <b/>
        <i/>
        <sz val="10"/>
        <rFont val="Arial"/>
        <family val="2"/>
      </rPr>
      <t xml:space="preserve">                           </t>
    </r>
  </si>
  <si>
    <t>в том числе:</t>
  </si>
  <si>
    <t>Вывоз твердых  бытовых отходов</t>
  </si>
  <si>
    <t>Обслуживание лифта</t>
  </si>
  <si>
    <t>Исполнительный директор</t>
  </si>
  <si>
    <t>Ю.В.Хуторной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</si>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</sst>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"/>
    <numFmt numFmtId="166" formatCode="0.000"/>
  </numFmts>
  <fonts count="6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u val="single"/>
      <sz val="9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9"/>
      <name val="Times New Roman"/>
      <family val="1"/>
    </font>
    <font>
      <sz val="8.5"/>
      <name val="Arial"/>
      <family val="2"/>
    </font>
    <font>
      <sz val="8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 wrapText="1" shrinkToFit="1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4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1" fontId="14" fillId="33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vertical="center" wrapText="1" shrinkToFit="1"/>
      <protection/>
    </xf>
    <xf numFmtId="1" fontId="1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 wrapText="1" shrinkToFi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 shrinkToFit="1"/>
    </xf>
    <xf numFmtId="49" fontId="14" fillId="0" borderId="10" xfId="0" applyNumberFormat="1" applyFont="1" applyFill="1" applyBorder="1" applyAlignment="1">
      <alignment horizontal="left" vertical="center" wrapText="1" shrinkToFit="1"/>
    </xf>
    <xf numFmtId="2" fontId="14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2" fontId="21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>
      <alignment horizontal="center" vertical="center" wrapText="1" shrinkToFit="1"/>
    </xf>
    <xf numFmtId="2" fontId="18" fillId="0" borderId="10" xfId="0" applyNumberFormat="1" applyFont="1" applyFill="1" applyBorder="1" applyAlignment="1">
      <alignment vertical="center" wrapText="1" shrinkToFit="1"/>
    </xf>
    <xf numFmtId="2" fontId="18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2" fontId="18" fillId="0" borderId="10" xfId="0" applyNumberFormat="1" applyFont="1" applyFill="1" applyBorder="1" applyAlignment="1">
      <alignment vertical="center" wrapText="1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165" fontId="1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166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2" fontId="14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 shrinkToFit="1"/>
      <protection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vertical="top"/>
      <protection locked="0"/>
    </xf>
    <xf numFmtId="0" fontId="14" fillId="0" borderId="10" xfId="0" applyNumberFormat="1" applyFont="1" applyFill="1" applyBorder="1" applyAlignment="1" applyProtection="1">
      <alignment horizontal="right" vertical="center"/>
      <protection locked="0"/>
    </xf>
    <xf numFmtId="2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NumberFormat="1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 wrapText="1" shrinkToFit="1"/>
      <protection/>
    </xf>
    <xf numFmtId="1" fontId="14" fillId="0" borderId="0" xfId="0" applyNumberFormat="1" applyFont="1" applyFill="1" applyBorder="1" applyAlignment="1" applyProtection="1">
      <alignment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horizontal="center"/>
    </xf>
    <xf numFmtId="1" fontId="18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top" wrapText="1"/>
      <protection locked="0"/>
    </xf>
    <xf numFmtId="164" fontId="27" fillId="0" borderId="0" xfId="44" applyFont="1" applyFill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C1">
      <selection activeCell="E1" sqref="A1:IV16384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28" t="s">
        <v>1</v>
      </c>
      <c r="B3" s="128"/>
      <c r="C3" s="128"/>
      <c r="D3" s="128"/>
      <c r="E3" s="128"/>
      <c r="F3" s="128"/>
      <c r="G3" s="8"/>
      <c r="H3" s="8"/>
    </row>
    <row r="4" spans="1:8" ht="15.75">
      <c r="A4"/>
      <c r="B4"/>
      <c r="C4" s="9"/>
      <c r="D4" s="129" t="s">
        <v>2</v>
      </c>
      <c r="E4" s="129"/>
      <c r="F4" s="129"/>
      <c r="G4" s="129"/>
      <c r="H4" s="129"/>
    </row>
    <row r="5" spans="1:8" ht="12.75" customHeight="1" hidden="1">
      <c r="A5" s="130"/>
      <c r="B5" s="130"/>
      <c r="C5" s="130"/>
      <c r="D5" s="130"/>
      <c r="E5" s="130"/>
      <c r="F5" s="130"/>
      <c r="G5" s="130"/>
      <c r="H5" s="130"/>
    </row>
    <row r="6" spans="1:8" ht="34.5" customHeight="1">
      <c r="A6" s="131" t="s">
        <v>3</v>
      </c>
      <c r="B6" s="131" t="s">
        <v>4</v>
      </c>
      <c r="C6" s="132" t="s">
        <v>5</v>
      </c>
      <c r="D6" s="133" t="s">
        <v>6</v>
      </c>
      <c r="E6" s="133" t="s">
        <v>7</v>
      </c>
      <c r="F6" s="132" t="s">
        <v>8</v>
      </c>
      <c r="G6" s="11" t="s">
        <v>9</v>
      </c>
      <c r="H6" s="11" t="s">
        <v>10</v>
      </c>
    </row>
    <row r="7" spans="1:8" ht="15" customHeight="1">
      <c r="A7" s="131"/>
      <c r="B7" s="131"/>
      <c r="C7" s="132"/>
      <c r="D7" s="133"/>
      <c r="E7" s="133"/>
      <c r="F7" s="132"/>
      <c r="G7" s="134" t="s">
        <v>11</v>
      </c>
      <c r="H7" s="134"/>
    </row>
    <row r="8" spans="1:8" ht="15.75" customHeight="1">
      <c r="A8" s="131"/>
      <c r="B8" s="131"/>
      <c r="C8" s="132"/>
      <c r="D8" s="133"/>
      <c r="E8" s="133"/>
      <c r="F8" s="132"/>
      <c r="G8" s="134">
        <v>559.4</v>
      </c>
      <c r="H8" s="134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35" t="s">
        <v>25</v>
      </c>
      <c r="B17" s="135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35" t="s">
        <v>31</v>
      </c>
      <c r="B19" s="135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36" t="s">
        <v>46</v>
      </c>
      <c r="B25" s="136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35" t="s">
        <v>55</v>
      </c>
      <c r="B29" s="135"/>
      <c r="C29" s="135"/>
      <c r="D29" s="135"/>
      <c r="E29" s="135"/>
      <c r="F29" s="135"/>
      <c r="G29" s="21">
        <v>9</v>
      </c>
      <c r="H29" s="16"/>
      <c r="I29" s="28"/>
    </row>
    <row r="30" spans="1:8" ht="15.75" customHeight="1">
      <c r="A30" s="135" t="s">
        <v>56</v>
      </c>
      <c r="B30" s="135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35" t="s">
        <v>31</v>
      </c>
      <c r="B47" s="135"/>
      <c r="C47" s="22"/>
      <c r="D47" s="137" t="s">
        <v>98</v>
      </c>
      <c r="E47" s="137"/>
      <c r="F47" s="137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35" t="s">
        <v>101</v>
      </c>
      <c r="B49" s="135"/>
      <c r="C49" s="22"/>
      <c r="D49" s="137" t="s">
        <v>102</v>
      </c>
      <c r="E49" s="137"/>
      <c r="F49" s="137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35" t="s">
        <v>112</v>
      </c>
      <c r="B53" s="135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35" t="s">
        <v>125</v>
      </c>
      <c r="B57" s="135"/>
      <c r="C57" s="135"/>
      <c r="D57" s="135"/>
      <c r="E57" s="135"/>
      <c r="F57" s="135"/>
      <c r="G57" s="21">
        <v>9</v>
      </c>
      <c r="H57" s="16"/>
      <c r="I57" s="28"/>
    </row>
    <row r="58" spans="1:9" ht="15.75" customHeight="1">
      <c r="A58" s="135" t="s">
        <v>126</v>
      </c>
      <c r="B58" s="135"/>
      <c r="C58" s="22"/>
      <c r="D58" s="137" t="s">
        <v>127</v>
      </c>
      <c r="E58" s="137"/>
      <c r="F58" s="137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35" t="s">
        <v>131</v>
      </c>
      <c r="B60" s="135"/>
      <c r="C60" s="22"/>
      <c r="D60" s="137" t="s">
        <v>132</v>
      </c>
      <c r="E60" s="137"/>
      <c r="F60" s="137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35" t="s">
        <v>137</v>
      </c>
      <c r="B62" s="135"/>
      <c r="C62" s="30"/>
      <c r="D62" s="137" t="s">
        <v>138</v>
      </c>
      <c r="E62" s="137"/>
      <c r="F62" s="137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35" t="s">
        <v>150</v>
      </c>
      <c r="B67" s="135"/>
      <c r="C67" s="22"/>
      <c r="D67" s="137" t="s">
        <v>151</v>
      </c>
      <c r="E67" s="137"/>
      <c r="F67" s="137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38" t="s">
        <v>163</v>
      </c>
      <c r="E73" s="138"/>
      <c r="F73" s="138"/>
      <c r="G73" s="138"/>
      <c r="H73" s="138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35" t="s">
        <v>167</v>
      </c>
      <c r="C77" s="135"/>
      <c r="D77" s="135"/>
      <c r="E77" s="135"/>
      <c r="F77" s="135"/>
      <c r="G77" s="42">
        <v>9</v>
      </c>
      <c r="H77" s="36"/>
    </row>
    <row r="78" spans="1:8" ht="12.75" customHeight="1" hidden="1">
      <c r="A78" s="135" t="s">
        <v>25</v>
      </c>
      <c r="B78" s="135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35" t="s">
        <v>56</v>
      </c>
      <c r="B80" s="135"/>
      <c r="C80" s="22"/>
      <c r="D80" s="137" t="s">
        <v>32</v>
      </c>
      <c r="E80" s="137"/>
      <c r="F80" s="137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35" t="s">
        <v>126</v>
      </c>
      <c r="B93" s="135"/>
      <c r="C93" s="22"/>
      <c r="D93" s="137" t="s">
        <v>47</v>
      </c>
      <c r="E93" s="137"/>
      <c r="F93" s="137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35" t="s">
        <v>131</v>
      </c>
      <c r="B95" s="135"/>
      <c r="C95" s="22"/>
      <c r="D95" s="137" t="s">
        <v>192</v>
      </c>
      <c r="E95" s="137"/>
      <c r="F95" s="137"/>
      <c r="G95" s="21">
        <v>9</v>
      </c>
      <c r="H95" s="21"/>
    </row>
    <row r="96" spans="1:8" ht="12.75" customHeight="1" hidden="1">
      <c r="A96" s="24"/>
      <c r="B96" s="135" t="s">
        <v>193</v>
      </c>
      <c r="C96" s="135"/>
      <c r="D96" s="135"/>
      <c r="E96" s="135"/>
      <c r="F96" s="135"/>
      <c r="G96" s="21">
        <v>9</v>
      </c>
      <c r="H96" s="16"/>
    </row>
    <row r="97" spans="1:8" ht="12.75" customHeight="1" hidden="1">
      <c r="A97" s="135" t="s">
        <v>25</v>
      </c>
      <c r="B97" s="135"/>
      <c r="C97" s="22"/>
      <c r="D97" s="137" t="s">
        <v>194</v>
      </c>
      <c r="E97" s="137"/>
      <c r="F97" s="137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35" t="s">
        <v>31</v>
      </c>
      <c r="B100" s="135"/>
      <c r="C100" s="22"/>
      <c r="D100" s="137" t="s">
        <v>199</v>
      </c>
      <c r="E100" s="137"/>
      <c r="F100" s="137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35" t="s">
        <v>55</v>
      </c>
      <c r="B114" s="135"/>
      <c r="C114" s="135"/>
      <c r="D114" s="135"/>
      <c r="E114" s="135"/>
      <c r="F114" s="135"/>
      <c r="G114" s="21">
        <v>9</v>
      </c>
      <c r="H114" s="16"/>
    </row>
    <row r="115" spans="1:8" ht="12.75" customHeight="1" hidden="1">
      <c r="A115" s="135" t="s">
        <v>25</v>
      </c>
      <c r="B115" s="135"/>
      <c r="C115" s="22"/>
      <c r="D115" s="137" t="s">
        <v>57</v>
      </c>
      <c r="E115" s="137"/>
      <c r="F115" s="137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35" t="s">
        <v>31</v>
      </c>
      <c r="B119" s="135"/>
      <c r="C119" s="22"/>
      <c r="D119" s="137" t="s">
        <v>98</v>
      </c>
      <c r="E119" s="137"/>
      <c r="F119" s="137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35" t="s">
        <v>101</v>
      </c>
      <c r="B130" s="135"/>
      <c r="C130" s="22"/>
      <c r="D130" s="137" t="s">
        <v>102</v>
      </c>
      <c r="E130" s="137"/>
      <c r="F130" s="137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35"/>
      <c r="B136" s="135"/>
      <c r="C136" s="22"/>
      <c r="D136" s="137" t="s">
        <v>113</v>
      </c>
      <c r="E136" s="137"/>
      <c r="F136" s="137"/>
      <c r="G136" s="21">
        <v>9</v>
      </c>
      <c r="H136" s="16"/>
    </row>
    <row r="137" spans="1:8" ht="12.75" customHeight="1" hidden="1">
      <c r="A137" s="135" t="s">
        <v>25</v>
      </c>
      <c r="B137" s="135"/>
      <c r="C137" s="22"/>
      <c r="D137" s="137" t="s">
        <v>113</v>
      </c>
      <c r="E137" s="137"/>
      <c r="F137" s="137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35" t="s">
        <v>125</v>
      </c>
      <c r="B148" s="135"/>
      <c r="C148" s="135"/>
      <c r="D148" s="135"/>
      <c r="E148" s="135"/>
      <c r="F148" s="135"/>
      <c r="G148" s="21">
        <v>9</v>
      </c>
      <c r="H148" s="16"/>
    </row>
    <row r="149" spans="1:8" ht="12.75" customHeight="1" hidden="1">
      <c r="A149" s="135" t="s">
        <v>25</v>
      </c>
      <c r="B149" s="135"/>
      <c r="C149" s="22"/>
      <c r="D149" s="137" t="s">
        <v>127</v>
      </c>
      <c r="E149" s="137"/>
      <c r="F149" s="137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35" t="s">
        <v>101</v>
      </c>
      <c r="B159" s="135"/>
      <c r="C159" s="22"/>
      <c r="D159" s="137" t="s">
        <v>138</v>
      </c>
      <c r="E159" s="137"/>
      <c r="F159" s="137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35" t="s">
        <v>46</v>
      </c>
      <c r="B167" s="135"/>
      <c r="C167" s="22"/>
      <c r="D167" s="137" t="s">
        <v>151</v>
      </c>
      <c r="E167" s="137"/>
      <c r="F167" s="137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35" t="s">
        <v>56</v>
      </c>
      <c r="B176" s="135"/>
      <c r="C176" s="22"/>
      <c r="D176" s="137" t="s">
        <v>297</v>
      </c>
      <c r="E176" s="137"/>
      <c r="F176" s="137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  <mergeCell ref="A130:B130"/>
    <mergeCell ref="D130:F130"/>
    <mergeCell ref="A136:B136"/>
    <mergeCell ref="D136:F136"/>
    <mergeCell ref="A137:B137"/>
    <mergeCell ref="D137:F137"/>
    <mergeCell ref="A100:B100"/>
    <mergeCell ref="D100:F100"/>
    <mergeCell ref="A114:F114"/>
    <mergeCell ref="A115:B115"/>
    <mergeCell ref="D115:F115"/>
    <mergeCell ref="A119:B119"/>
    <mergeCell ref="D119:F119"/>
    <mergeCell ref="A93:B93"/>
    <mergeCell ref="D93:F93"/>
    <mergeCell ref="A95:B95"/>
    <mergeCell ref="D95:F95"/>
    <mergeCell ref="B96:F96"/>
    <mergeCell ref="A97:B97"/>
    <mergeCell ref="D97:F97"/>
    <mergeCell ref="A67:B67"/>
    <mergeCell ref="D67:F67"/>
    <mergeCell ref="D73:H73"/>
    <mergeCell ref="B77:F77"/>
    <mergeCell ref="A78:B78"/>
    <mergeCell ref="A80:B80"/>
    <mergeCell ref="D80:F80"/>
    <mergeCell ref="A58:B58"/>
    <mergeCell ref="D58:F58"/>
    <mergeCell ref="A60:B60"/>
    <mergeCell ref="D60:F60"/>
    <mergeCell ref="A62:B62"/>
    <mergeCell ref="D62:F62"/>
    <mergeCell ref="A47:B47"/>
    <mergeCell ref="D47:F47"/>
    <mergeCell ref="A49:B49"/>
    <mergeCell ref="D49:F49"/>
    <mergeCell ref="A53:B53"/>
    <mergeCell ref="A57:F57"/>
    <mergeCell ref="G8:H8"/>
    <mergeCell ref="A17:B17"/>
    <mergeCell ref="A19:B19"/>
    <mergeCell ref="A25:B25"/>
    <mergeCell ref="A29:F29"/>
    <mergeCell ref="A30:B30"/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I43" sqref="I43"/>
    </sheetView>
  </sheetViews>
  <sheetFormatPr defaultColWidth="9.00390625" defaultRowHeight="12.75"/>
  <cols>
    <col min="1" max="1" width="0" style="44" hidden="1" customWidth="1"/>
    <col min="2" max="2" width="0" style="45" hidden="1" customWidth="1"/>
    <col min="3" max="3" width="5.375" style="45" customWidth="1"/>
    <col min="4" max="4" width="39.125" style="46" customWidth="1"/>
    <col min="5" max="5" width="19.125" style="46" customWidth="1"/>
    <col min="6" max="6" width="12.00390625" style="45" customWidth="1"/>
    <col min="7" max="7" width="11.875" style="47" customWidth="1"/>
    <col min="8" max="8" width="9.25390625" style="47" customWidth="1"/>
    <col min="9" max="9" width="12.75390625" style="48" customWidth="1"/>
    <col min="10" max="10" width="10.75390625" style="48" customWidth="1"/>
    <col min="11" max="11" width="13.125" style="44" customWidth="1"/>
    <col min="12" max="16384" width="9.125" style="44" customWidth="1"/>
  </cols>
  <sheetData>
    <row r="1" spans="1:11" ht="13.5" customHeight="1">
      <c r="A1" s="49" t="s">
        <v>1</v>
      </c>
      <c r="B1" s="49"/>
      <c r="C1" s="139" t="s">
        <v>300</v>
      </c>
      <c r="D1" s="139"/>
      <c r="E1" s="139"/>
      <c r="F1" s="139"/>
      <c r="G1" s="139"/>
      <c r="H1" s="139"/>
      <c r="I1" s="139"/>
      <c r="J1" s="139"/>
      <c r="K1" s="139"/>
    </row>
    <row r="2" spans="1:11" ht="12">
      <c r="A2" s="50"/>
      <c r="B2" s="50"/>
      <c r="C2" s="140" t="s">
        <v>301</v>
      </c>
      <c r="D2" s="140"/>
      <c r="E2" s="140"/>
      <c r="F2" s="140"/>
      <c r="G2" s="140"/>
      <c r="H2" s="140"/>
      <c r="I2" s="140"/>
      <c r="J2" s="140"/>
      <c r="K2" s="51"/>
    </row>
    <row r="3" spans="1:11" s="56" customFormat="1" ht="63" customHeight="1">
      <c r="A3" s="52" t="s">
        <v>3</v>
      </c>
      <c r="B3" s="52" t="s">
        <v>4</v>
      </c>
      <c r="C3" s="53" t="s">
        <v>5</v>
      </c>
      <c r="D3" s="54" t="s">
        <v>6</v>
      </c>
      <c r="E3" s="54" t="s">
        <v>7</v>
      </c>
      <c r="F3" s="53" t="s">
        <v>8</v>
      </c>
      <c r="G3" s="55" t="s">
        <v>302</v>
      </c>
      <c r="H3" s="55" t="s">
        <v>303</v>
      </c>
      <c r="I3" s="55" t="s">
        <v>304</v>
      </c>
      <c r="J3" s="55" t="s">
        <v>305</v>
      </c>
      <c r="K3" s="55" t="s">
        <v>306</v>
      </c>
    </row>
    <row r="4" spans="1:11" ht="12">
      <c r="A4" s="57">
        <v>1</v>
      </c>
      <c r="B4" s="57">
        <v>2</v>
      </c>
      <c r="C4" s="58">
        <v>1</v>
      </c>
      <c r="D4" s="59">
        <v>2</v>
      </c>
      <c r="E4" s="59">
        <v>3</v>
      </c>
      <c r="F4" s="60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</row>
    <row r="5" spans="1:11" ht="20.25" customHeight="1">
      <c r="A5" s="57"/>
      <c r="B5" s="57"/>
      <c r="C5" s="141" t="s">
        <v>307</v>
      </c>
      <c r="D5" s="141"/>
      <c r="E5" s="141"/>
      <c r="F5" s="141"/>
      <c r="G5" s="141"/>
      <c r="H5" s="141"/>
      <c r="I5" s="62"/>
      <c r="J5" s="62"/>
      <c r="K5" s="62"/>
    </row>
    <row r="6" spans="1:11" ht="12">
      <c r="A6" s="57"/>
      <c r="B6" s="57"/>
      <c r="C6" s="58">
        <v>1</v>
      </c>
      <c r="D6" s="63" t="s">
        <v>308</v>
      </c>
      <c r="E6" s="63" t="s">
        <v>18</v>
      </c>
      <c r="F6" s="60" t="s">
        <v>309</v>
      </c>
      <c r="G6" s="61">
        <v>2</v>
      </c>
      <c r="H6" s="61">
        <v>12</v>
      </c>
      <c r="I6" s="58">
        <f>G6*H6*1200</f>
        <v>28800</v>
      </c>
      <c r="J6" s="64">
        <v>3812.8</v>
      </c>
      <c r="K6" s="65">
        <f aca="true" t="shared" si="0" ref="K6:K46">I6/12/3812.8</f>
        <v>0.629458665547629</v>
      </c>
    </row>
    <row r="7" spans="1:11" ht="12">
      <c r="A7" s="58"/>
      <c r="B7" s="58"/>
      <c r="C7" s="58">
        <v>2</v>
      </c>
      <c r="D7" s="66" t="s">
        <v>165</v>
      </c>
      <c r="E7" s="66" t="s">
        <v>16</v>
      </c>
      <c r="F7" s="60" t="s">
        <v>136</v>
      </c>
      <c r="G7" s="61">
        <v>0</v>
      </c>
      <c r="H7" s="61">
        <v>0</v>
      </c>
      <c r="I7" s="58">
        <v>0</v>
      </c>
      <c r="J7" s="61">
        <v>3812.8</v>
      </c>
      <c r="K7" s="65">
        <f t="shared" si="0"/>
        <v>0</v>
      </c>
    </row>
    <row r="8" spans="1:11" ht="12">
      <c r="A8" s="58"/>
      <c r="B8" s="58"/>
      <c r="C8" s="58">
        <v>3</v>
      </c>
      <c r="D8" s="66" t="s">
        <v>17</v>
      </c>
      <c r="E8" s="66" t="s">
        <v>18</v>
      </c>
      <c r="F8" s="60" t="s">
        <v>136</v>
      </c>
      <c r="G8" s="61">
        <v>3812.8</v>
      </c>
      <c r="H8" s="61">
        <v>12</v>
      </c>
      <c r="I8" s="58">
        <f>G8*H8*0.45</f>
        <v>20589.120000000003</v>
      </c>
      <c r="J8" s="61">
        <v>3812.8</v>
      </c>
      <c r="K8" s="65">
        <f t="shared" si="0"/>
        <v>0.45</v>
      </c>
    </row>
    <row r="9" spans="1:11" ht="24">
      <c r="A9" s="58"/>
      <c r="B9" s="58"/>
      <c r="C9" s="58">
        <v>4</v>
      </c>
      <c r="D9" s="67" t="s">
        <v>310</v>
      </c>
      <c r="E9" s="67" t="s">
        <v>18</v>
      </c>
      <c r="F9" s="60" t="s">
        <v>311</v>
      </c>
      <c r="G9" s="61">
        <v>64</v>
      </c>
      <c r="H9" s="61">
        <v>1</v>
      </c>
      <c r="I9" s="68">
        <v>13237</v>
      </c>
      <c r="J9" s="61">
        <v>3812.8</v>
      </c>
      <c r="K9" s="65">
        <f t="shared" si="0"/>
        <v>0.289310567911596</v>
      </c>
    </row>
    <row r="10" spans="1:11" ht="12">
      <c r="A10" s="58"/>
      <c r="B10" s="58"/>
      <c r="C10" s="58">
        <v>8</v>
      </c>
      <c r="D10" s="66" t="s">
        <v>312</v>
      </c>
      <c r="E10" s="67" t="s">
        <v>18</v>
      </c>
      <c r="F10" s="60" t="s">
        <v>313</v>
      </c>
      <c r="G10" s="61">
        <v>0</v>
      </c>
      <c r="H10" s="61">
        <v>0</v>
      </c>
      <c r="I10" s="58">
        <f>J10*H10*1.04</f>
        <v>0</v>
      </c>
      <c r="J10" s="61">
        <v>3812.8</v>
      </c>
      <c r="K10" s="65">
        <f t="shared" si="0"/>
        <v>0</v>
      </c>
    </row>
    <row r="11" spans="1:11" ht="12">
      <c r="A11" s="58"/>
      <c r="B11" s="58"/>
      <c r="C11" s="58">
        <v>5</v>
      </c>
      <c r="D11" s="66" t="s">
        <v>20</v>
      </c>
      <c r="E11" s="66" t="s">
        <v>21</v>
      </c>
      <c r="F11" s="60" t="s">
        <v>136</v>
      </c>
      <c r="G11" s="61">
        <v>3812.8</v>
      </c>
      <c r="H11" s="61">
        <v>12</v>
      </c>
      <c r="I11" s="68">
        <f>G11*H11*0.26</f>
        <v>11895.936000000002</v>
      </c>
      <c r="J11" s="61">
        <v>3812.8</v>
      </c>
      <c r="K11" s="65">
        <f t="shared" si="0"/>
        <v>0.26</v>
      </c>
    </row>
    <row r="12" spans="1:11" ht="12">
      <c r="A12" s="58"/>
      <c r="B12" s="58"/>
      <c r="C12" s="58"/>
      <c r="D12" s="66" t="s">
        <v>314</v>
      </c>
      <c r="E12" s="67" t="s">
        <v>23</v>
      </c>
      <c r="F12" s="60" t="s">
        <v>136</v>
      </c>
      <c r="G12" s="58"/>
      <c r="H12" s="61"/>
      <c r="I12" s="58"/>
      <c r="J12" s="61">
        <v>3812.8</v>
      </c>
      <c r="K12" s="65">
        <f t="shared" si="0"/>
        <v>0</v>
      </c>
    </row>
    <row r="13" spans="1:11" ht="12">
      <c r="A13" s="58"/>
      <c r="B13" s="58"/>
      <c r="C13" s="58">
        <v>6</v>
      </c>
      <c r="D13" s="66" t="s">
        <v>315</v>
      </c>
      <c r="E13" s="67" t="s">
        <v>18</v>
      </c>
      <c r="F13" s="60" t="s">
        <v>313</v>
      </c>
      <c r="G13" s="61">
        <v>8</v>
      </c>
      <c r="H13" s="61">
        <v>0</v>
      </c>
      <c r="I13" s="58">
        <v>0</v>
      </c>
      <c r="J13" s="61">
        <v>3812.8</v>
      </c>
      <c r="K13" s="65">
        <f t="shared" si="0"/>
        <v>0</v>
      </c>
    </row>
    <row r="14" spans="1:11" ht="24">
      <c r="A14" s="58"/>
      <c r="B14" s="58"/>
      <c r="C14" s="58">
        <v>7</v>
      </c>
      <c r="D14" s="66" t="s">
        <v>316</v>
      </c>
      <c r="E14" s="67" t="s">
        <v>23</v>
      </c>
      <c r="F14" s="60" t="s">
        <v>317</v>
      </c>
      <c r="G14" s="61">
        <v>8</v>
      </c>
      <c r="H14" s="61">
        <v>1</v>
      </c>
      <c r="I14" s="58">
        <v>0</v>
      </c>
      <c r="J14" s="61">
        <v>3812.8</v>
      </c>
      <c r="K14" s="65">
        <f t="shared" si="0"/>
        <v>0</v>
      </c>
    </row>
    <row r="15" spans="1:11" ht="9.75" customHeight="1">
      <c r="A15" s="58"/>
      <c r="B15" s="58"/>
      <c r="C15" s="58">
        <v>9</v>
      </c>
      <c r="D15" s="66" t="s">
        <v>318</v>
      </c>
      <c r="E15" s="67" t="s">
        <v>18</v>
      </c>
      <c r="F15" s="60" t="s">
        <v>136</v>
      </c>
      <c r="G15" s="61">
        <v>3812.8</v>
      </c>
      <c r="H15" s="61">
        <v>12</v>
      </c>
      <c r="I15" s="58">
        <f>G15*1.85*H15</f>
        <v>84644.16</v>
      </c>
      <c r="J15" s="61">
        <v>3812.8</v>
      </c>
      <c r="K15" s="65">
        <f t="shared" si="0"/>
        <v>1.85</v>
      </c>
    </row>
    <row r="16" spans="1:11" ht="10.5" customHeight="1">
      <c r="A16" s="58"/>
      <c r="B16" s="58"/>
      <c r="C16" s="58">
        <v>10</v>
      </c>
      <c r="D16" s="66" t="s">
        <v>319</v>
      </c>
      <c r="E16" s="67" t="s">
        <v>320</v>
      </c>
      <c r="F16" s="60" t="s">
        <v>311</v>
      </c>
      <c r="G16" s="61">
        <v>64</v>
      </c>
      <c r="H16" s="61">
        <v>12</v>
      </c>
      <c r="I16" s="58">
        <f>G16*H16*45</f>
        <v>34560</v>
      </c>
      <c r="J16" s="61">
        <v>3812.8</v>
      </c>
      <c r="K16" s="65">
        <f t="shared" si="0"/>
        <v>0.7553503986571548</v>
      </c>
    </row>
    <row r="17" spans="1:11" ht="15.75" customHeight="1">
      <c r="A17" s="142"/>
      <c r="B17" s="142"/>
      <c r="C17" s="142" t="s">
        <v>321</v>
      </c>
      <c r="D17" s="142"/>
      <c r="E17" s="142"/>
      <c r="F17" s="142"/>
      <c r="G17" s="142"/>
      <c r="H17" s="142"/>
      <c r="I17" s="70"/>
      <c r="J17" s="71"/>
      <c r="K17" s="65">
        <f t="shared" si="0"/>
        <v>0</v>
      </c>
    </row>
    <row r="18" spans="1:11" ht="21" customHeight="1">
      <c r="A18" s="58"/>
      <c r="B18" s="58"/>
      <c r="C18" s="58">
        <v>11</v>
      </c>
      <c r="D18" s="67" t="s">
        <v>322</v>
      </c>
      <c r="E18" s="67" t="s">
        <v>13</v>
      </c>
      <c r="F18" s="60" t="s">
        <v>323</v>
      </c>
      <c r="G18" s="61">
        <v>128</v>
      </c>
      <c r="H18" s="61">
        <v>1</v>
      </c>
      <c r="I18" s="58">
        <f>G18*2.76</f>
        <v>353.28</v>
      </c>
      <c r="J18" s="61">
        <v>3812.8</v>
      </c>
      <c r="K18" s="65">
        <f t="shared" si="0"/>
        <v>0.007721359630717582</v>
      </c>
    </row>
    <row r="19" spans="1:11" ht="12">
      <c r="A19" s="72"/>
      <c r="B19" s="72"/>
      <c r="C19" s="72">
        <v>11</v>
      </c>
      <c r="D19" s="73" t="s">
        <v>47</v>
      </c>
      <c r="E19" s="74"/>
      <c r="F19" s="75"/>
      <c r="G19" s="61"/>
      <c r="H19" s="61"/>
      <c r="I19" s="76"/>
      <c r="J19" s="61">
        <v>3812.8</v>
      </c>
      <c r="K19" s="65">
        <f t="shared" si="0"/>
        <v>0</v>
      </c>
    </row>
    <row r="20" spans="1:11" ht="24" customHeight="1">
      <c r="A20" s="72"/>
      <c r="B20" s="72"/>
      <c r="C20" s="72">
        <v>12</v>
      </c>
      <c r="D20" s="74" t="s">
        <v>324</v>
      </c>
      <c r="E20" s="77" t="s">
        <v>68</v>
      </c>
      <c r="F20" s="75" t="s">
        <v>136</v>
      </c>
      <c r="G20" s="61"/>
      <c r="H20" s="61">
        <v>1</v>
      </c>
      <c r="I20" s="68">
        <f>G20*345.64</f>
        <v>0</v>
      </c>
      <c r="J20" s="61">
        <v>3812.8</v>
      </c>
      <c r="K20" s="65">
        <f t="shared" si="0"/>
        <v>0</v>
      </c>
    </row>
    <row r="21" spans="1:11" ht="28.5" customHeight="1">
      <c r="A21" s="72">
        <v>918</v>
      </c>
      <c r="B21" s="72" t="s">
        <v>50</v>
      </c>
      <c r="C21" s="58">
        <v>13</v>
      </c>
      <c r="D21" s="74" t="s">
        <v>325</v>
      </c>
      <c r="E21" s="74" t="s">
        <v>68</v>
      </c>
      <c r="F21" s="75" t="s">
        <v>136</v>
      </c>
      <c r="G21" s="61"/>
      <c r="H21" s="61"/>
      <c r="I21" s="65"/>
      <c r="J21" s="61">
        <v>3812.8</v>
      </c>
      <c r="K21" s="65">
        <f t="shared" si="0"/>
        <v>0</v>
      </c>
    </row>
    <row r="22" spans="1:11" ht="15.75" customHeight="1">
      <c r="A22" s="72"/>
      <c r="B22" s="72"/>
      <c r="C22" s="72">
        <v>14</v>
      </c>
      <c r="D22" s="74" t="s">
        <v>326</v>
      </c>
      <c r="E22" s="74" t="s">
        <v>68</v>
      </c>
      <c r="F22" s="75" t="s">
        <v>136</v>
      </c>
      <c r="G22" s="61"/>
      <c r="H22" s="58"/>
      <c r="I22" s="65"/>
      <c r="J22" s="61">
        <v>3812.8</v>
      </c>
      <c r="K22" s="65">
        <f t="shared" si="0"/>
        <v>0</v>
      </c>
    </row>
    <row r="23" spans="1:11" ht="24" customHeight="1">
      <c r="A23" s="69"/>
      <c r="B23" s="78"/>
      <c r="C23" s="72">
        <v>15</v>
      </c>
      <c r="D23" s="77" t="s">
        <v>327</v>
      </c>
      <c r="E23" s="74" t="s">
        <v>68</v>
      </c>
      <c r="F23" s="75" t="s">
        <v>328</v>
      </c>
      <c r="G23" s="61">
        <v>2.5</v>
      </c>
      <c r="H23" s="79">
        <v>1</v>
      </c>
      <c r="I23" s="80">
        <f>G23*H23*50*100</f>
        <v>12500</v>
      </c>
      <c r="J23" s="61">
        <v>3812.8</v>
      </c>
      <c r="K23" s="65">
        <f t="shared" si="0"/>
        <v>0.2732025458106029</v>
      </c>
    </row>
    <row r="24" spans="1:11" ht="13.5" customHeight="1">
      <c r="A24" s="69"/>
      <c r="B24" s="78"/>
      <c r="C24" s="72">
        <v>16</v>
      </c>
      <c r="D24" s="77" t="s">
        <v>329</v>
      </c>
      <c r="E24" s="74" t="s">
        <v>68</v>
      </c>
      <c r="F24" s="75" t="s">
        <v>136</v>
      </c>
      <c r="G24" s="61">
        <v>48</v>
      </c>
      <c r="H24" s="79">
        <v>1</v>
      </c>
      <c r="I24" s="80">
        <f>G24*H24*50</f>
        <v>2400</v>
      </c>
      <c r="J24" s="61">
        <v>3812.8</v>
      </c>
      <c r="K24" s="65">
        <f t="shared" si="0"/>
        <v>0.05245488879563575</v>
      </c>
    </row>
    <row r="25" spans="1:11" ht="14.25" customHeight="1">
      <c r="A25" s="69"/>
      <c r="B25" s="78"/>
      <c r="C25" s="72">
        <v>17</v>
      </c>
      <c r="D25" s="77" t="s">
        <v>330</v>
      </c>
      <c r="E25" s="74" t="s">
        <v>68</v>
      </c>
      <c r="F25" s="75" t="s">
        <v>288</v>
      </c>
      <c r="G25" s="61"/>
      <c r="H25" s="79">
        <v>1</v>
      </c>
      <c r="I25" s="80">
        <f>G25*H25*41.86</f>
        <v>0</v>
      </c>
      <c r="J25" s="61">
        <v>3812.8</v>
      </c>
      <c r="K25" s="65">
        <f t="shared" si="0"/>
        <v>0</v>
      </c>
    </row>
    <row r="26" spans="1:11" ht="12">
      <c r="A26" s="69"/>
      <c r="B26" s="78"/>
      <c r="C26" s="69"/>
      <c r="D26" s="81" t="s">
        <v>331</v>
      </c>
      <c r="E26" s="69"/>
      <c r="F26" s="69"/>
      <c r="G26" s="61"/>
      <c r="H26" s="69"/>
      <c r="I26" s="82"/>
      <c r="J26" s="61">
        <v>3812.8</v>
      </c>
      <c r="K26" s="65">
        <f t="shared" si="0"/>
        <v>0</v>
      </c>
    </row>
    <row r="27" spans="1:11" ht="21.75" customHeight="1">
      <c r="A27" s="83"/>
      <c r="B27" s="78"/>
      <c r="C27" s="83" t="s">
        <v>332</v>
      </c>
      <c r="D27" s="77" t="s">
        <v>333</v>
      </c>
      <c r="E27" s="74" t="s">
        <v>334</v>
      </c>
      <c r="F27" s="83" t="s">
        <v>288</v>
      </c>
      <c r="G27" s="61"/>
      <c r="H27" s="83" t="s">
        <v>335</v>
      </c>
      <c r="I27" s="84">
        <f>G27*63.06</f>
        <v>0</v>
      </c>
      <c r="J27" s="61">
        <v>3812.8</v>
      </c>
      <c r="K27" s="65">
        <f t="shared" si="0"/>
        <v>0</v>
      </c>
    </row>
    <row r="28" spans="1:11" ht="26.25" customHeight="1">
      <c r="A28" s="83"/>
      <c r="B28" s="78"/>
      <c r="C28" s="83" t="s">
        <v>336</v>
      </c>
      <c r="D28" s="77" t="s">
        <v>337</v>
      </c>
      <c r="E28" s="74" t="s">
        <v>334</v>
      </c>
      <c r="F28" s="83" t="s">
        <v>338</v>
      </c>
      <c r="G28" s="61"/>
      <c r="H28" s="83" t="s">
        <v>335</v>
      </c>
      <c r="I28" s="84">
        <f>G28*273.79</f>
        <v>0</v>
      </c>
      <c r="J28" s="61">
        <v>3812.8</v>
      </c>
      <c r="K28" s="65">
        <f t="shared" si="0"/>
        <v>0</v>
      </c>
    </row>
    <row r="29" spans="1:11" ht="27" customHeight="1">
      <c r="A29" s="72">
        <v>1</v>
      </c>
      <c r="B29" s="72" t="s">
        <v>27</v>
      </c>
      <c r="C29" s="72">
        <v>20</v>
      </c>
      <c r="D29" s="74" t="s">
        <v>339</v>
      </c>
      <c r="E29" s="74" t="s">
        <v>334</v>
      </c>
      <c r="F29" s="75" t="s">
        <v>340</v>
      </c>
      <c r="G29" s="61">
        <f>0.44+0.44+0.4</f>
        <v>1.28</v>
      </c>
      <c r="H29" s="61"/>
      <c r="I29" s="84">
        <f>G29*726</f>
        <v>929.28</v>
      </c>
      <c r="J29" s="61">
        <v>3812.8</v>
      </c>
      <c r="K29" s="65">
        <f t="shared" si="0"/>
        <v>0.02031053294167016</v>
      </c>
    </row>
    <row r="30" spans="1:11" ht="27" customHeight="1">
      <c r="A30" s="72"/>
      <c r="B30" s="72"/>
      <c r="C30" s="72"/>
      <c r="D30" s="73" t="s">
        <v>341</v>
      </c>
      <c r="E30" s="74"/>
      <c r="F30" s="75"/>
      <c r="G30" s="61"/>
      <c r="H30" s="61"/>
      <c r="I30" s="65"/>
      <c r="J30" s="61">
        <v>3812.8</v>
      </c>
      <c r="K30" s="65">
        <f t="shared" si="0"/>
        <v>0</v>
      </c>
    </row>
    <row r="31" spans="1:11" ht="16.5" customHeight="1">
      <c r="A31" s="72"/>
      <c r="B31" s="72"/>
      <c r="C31" s="72">
        <v>21</v>
      </c>
      <c r="D31" s="74" t="s">
        <v>342</v>
      </c>
      <c r="E31" s="74" t="s">
        <v>68</v>
      </c>
      <c r="F31" s="75" t="s">
        <v>288</v>
      </c>
      <c r="G31" s="61"/>
      <c r="H31" s="61">
        <v>1</v>
      </c>
      <c r="I31" s="58">
        <f>G31*2009.91</f>
        <v>0</v>
      </c>
      <c r="J31" s="61">
        <v>3812.8</v>
      </c>
      <c r="K31" s="65">
        <f t="shared" si="0"/>
        <v>0</v>
      </c>
    </row>
    <row r="32" spans="1:11" ht="16.5" customHeight="1">
      <c r="A32" s="72"/>
      <c r="B32" s="72"/>
      <c r="C32" s="72"/>
      <c r="D32" s="73" t="s">
        <v>32</v>
      </c>
      <c r="E32" s="74"/>
      <c r="F32" s="75"/>
      <c r="G32" s="61"/>
      <c r="H32" s="61"/>
      <c r="I32" s="76"/>
      <c r="J32" s="61">
        <v>3812.8</v>
      </c>
      <c r="K32" s="65">
        <f t="shared" si="0"/>
        <v>0</v>
      </c>
    </row>
    <row r="33" spans="1:11" ht="24" customHeight="1">
      <c r="A33" s="72">
        <v>5</v>
      </c>
      <c r="B33" s="72" t="s">
        <v>38</v>
      </c>
      <c r="C33" s="72">
        <v>18</v>
      </c>
      <c r="D33" s="74" t="s">
        <v>39</v>
      </c>
      <c r="E33" s="74" t="s">
        <v>60</v>
      </c>
      <c r="F33" s="75" t="s">
        <v>40</v>
      </c>
      <c r="G33" s="61">
        <f>0.34+0.05+0.025+0.025</f>
        <v>0.44000000000000006</v>
      </c>
      <c r="H33" s="61">
        <v>1</v>
      </c>
      <c r="I33" s="58">
        <f>G33*3823.38</f>
        <v>1682.2872000000002</v>
      </c>
      <c r="J33" s="61">
        <v>3812.8</v>
      </c>
      <c r="K33" s="65">
        <f t="shared" si="0"/>
        <v>0.03676841166596727</v>
      </c>
    </row>
    <row r="34" spans="1:11" ht="14.25" customHeight="1">
      <c r="A34" s="72"/>
      <c r="B34" s="72"/>
      <c r="C34" s="72">
        <v>19</v>
      </c>
      <c r="D34" s="74" t="s">
        <v>343</v>
      </c>
      <c r="E34" s="74" t="s">
        <v>60</v>
      </c>
      <c r="F34" s="75" t="s">
        <v>170</v>
      </c>
      <c r="G34" s="61">
        <f>1</f>
        <v>1</v>
      </c>
      <c r="H34" s="61"/>
      <c r="I34" s="58">
        <f>G34*447.74</f>
        <v>447.74</v>
      </c>
      <c r="J34" s="61">
        <v>3812.8</v>
      </c>
      <c r="K34" s="65">
        <f t="shared" si="0"/>
        <v>0.009785896628899147</v>
      </c>
    </row>
    <row r="35" spans="1:11" ht="24">
      <c r="A35" s="72"/>
      <c r="B35" s="72"/>
      <c r="C35" s="72">
        <v>20</v>
      </c>
      <c r="D35" s="74" t="s">
        <v>344</v>
      </c>
      <c r="E35" s="74" t="s">
        <v>60</v>
      </c>
      <c r="F35" s="75" t="s">
        <v>136</v>
      </c>
      <c r="G35" s="61"/>
      <c r="H35" s="61">
        <v>2</v>
      </c>
      <c r="I35" s="58">
        <f>G35*58.82</f>
        <v>0</v>
      </c>
      <c r="J35" s="61">
        <v>3812.8</v>
      </c>
      <c r="K35" s="65">
        <f t="shared" si="0"/>
        <v>0</v>
      </c>
    </row>
    <row r="36" spans="1:11" ht="14.25" customHeight="1">
      <c r="A36" s="72"/>
      <c r="B36" s="72"/>
      <c r="C36" s="72">
        <v>21</v>
      </c>
      <c r="D36" s="74" t="s">
        <v>345</v>
      </c>
      <c r="E36" s="74" t="s">
        <v>60</v>
      </c>
      <c r="F36" s="75" t="s">
        <v>338</v>
      </c>
      <c r="G36" s="61">
        <f>1+2</f>
        <v>3</v>
      </c>
      <c r="H36" s="61"/>
      <c r="I36" s="65">
        <f>G36*250.28</f>
        <v>750.84</v>
      </c>
      <c r="J36" s="61">
        <v>3812.8</v>
      </c>
      <c r="K36" s="65">
        <f t="shared" si="0"/>
        <v>0.016410511959714644</v>
      </c>
    </row>
    <row r="37" spans="1:11" ht="11.25" customHeight="1">
      <c r="A37" s="72"/>
      <c r="B37" s="72"/>
      <c r="C37" s="72">
        <v>22</v>
      </c>
      <c r="D37" s="74" t="s">
        <v>346</v>
      </c>
      <c r="E37" s="74" t="s">
        <v>334</v>
      </c>
      <c r="F37" s="75" t="s">
        <v>136</v>
      </c>
      <c r="G37" s="61"/>
      <c r="H37" s="61"/>
      <c r="I37" s="65"/>
      <c r="J37" s="61">
        <v>3812.8</v>
      </c>
      <c r="K37" s="65">
        <f t="shared" si="0"/>
        <v>0</v>
      </c>
    </row>
    <row r="38" spans="1:11" ht="24">
      <c r="A38" s="72"/>
      <c r="B38" s="72"/>
      <c r="C38" s="72">
        <v>23</v>
      </c>
      <c r="D38" s="74" t="s">
        <v>347</v>
      </c>
      <c r="E38" s="74" t="s">
        <v>60</v>
      </c>
      <c r="F38" s="75" t="s">
        <v>338</v>
      </c>
      <c r="G38" s="61">
        <f>2+1</f>
        <v>3</v>
      </c>
      <c r="H38" s="61">
        <v>1</v>
      </c>
      <c r="I38" s="85">
        <f>G38*137.4</f>
        <v>412.20000000000005</v>
      </c>
      <c r="J38" s="61">
        <v>3812.8</v>
      </c>
      <c r="K38" s="65">
        <f t="shared" si="0"/>
        <v>0.00900912715065044</v>
      </c>
    </row>
    <row r="39" spans="1:11" ht="12">
      <c r="A39" s="72"/>
      <c r="B39" s="72"/>
      <c r="C39" s="72"/>
      <c r="D39" s="73" t="s">
        <v>348</v>
      </c>
      <c r="E39" s="74"/>
      <c r="F39" s="75"/>
      <c r="G39" s="61"/>
      <c r="H39" s="61"/>
      <c r="I39" s="86"/>
      <c r="J39" s="61">
        <v>3812.8</v>
      </c>
      <c r="K39" s="65">
        <f t="shared" si="0"/>
        <v>0</v>
      </c>
    </row>
    <row r="40" spans="1:11" ht="15.75" customHeight="1">
      <c r="A40" s="72"/>
      <c r="B40" s="72"/>
      <c r="C40" s="72">
        <v>24</v>
      </c>
      <c r="D40" s="74" t="s">
        <v>349</v>
      </c>
      <c r="E40" s="74" t="s">
        <v>334</v>
      </c>
      <c r="F40" s="75" t="s">
        <v>136</v>
      </c>
      <c r="G40" s="61"/>
      <c r="H40" s="61"/>
      <c r="I40" s="65"/>
      <c r="J40" s="61">
        <v>3812.8</v>
      </c>
      <c r="K40" s="65">
        <f t="shared" si="0"/>
        <v>0</v>
      </c>
    </row>
    <row r="41" spans="1:11" ht="12" customHeight="1">
      <c r="A41" s="72"/>
      <c r="B41" s="72"/>
      <c r="C41" s="72">
        <v>25</v>
      </c>
      <c r="D41" s="74" t="s">
        <v>350</v>
      </c>
      <c r="E41" s="74" t="s">
        <v>60</v>
      </c>
      <c r="F41" s="75" t="s">
        <v>136</v>
      </c>
      <c r="G41" s="61"/>
      <c r="H41" s="61"/>
      <c r="I41" s="65"/>
      <c r="J41" s="61">
        <v>3812.8</v>
      </c>
      <c r="K41" s="65">
        <f t="shared" si="0"/>
        <v>0</v>
      </c>
    </row>
    <row r="42" spans="1:11" ht="18.75" customHeight="1">
      <c r="A42" s="72"/>
      <c r="B42" s="72"/>
      <c r="C42" s="72">
        <v>26</v>
      </c>
      <c r="D42" s="74" t="s">
        <v>351</v>
      </c>
      <c r="E42" s="74" t="s">
        <v>334</v>
      </c>
      <c r="F42" s="75" t="s">
        <v>313</v>
      </c>
      <c r="G42" s="61"/>
      <c r="H42" s="61"/>
      <c r="I42" s="65"/>
      <c r="J42" s="61">
        <v>3812.8</v>
      </c>
      <c r="K42" s="65">
        <f t="shared" si="0"/>
        <v>0</v>
      </c>
    </row>
    <row r="43" spans="1:11" ht="18.75" customHeight="1">
      <c r="A43" s="72"/>
      <c r="B43" s="72"/>
      <c r="C43" s="72">
        <v>27</v>
      </c>
      <c r="D43" s="74" t="s">
        <v>352</v>
      </c>
      <c r="E43" s="74" t="s">
        <v>334</v>
      </c>
      <c r="F43" s="75" t="s">
        <v>313</v>
      </c>
      <c r="G43" s="61">
        <v>1</v>
      </c>
      <c r="H43" s="61">
        <v>1</v>
      </c>
      <c r="I43" s="65">
        <f>G43*6199.866</f>
        <v>6199.866</v>
      </c>
      <c r="J43" s="61">
        <v>3812.8</v>
      </c>
      <c r="K43" s="65">
        <f t="shared" si="0"/>
        <v>0.13550553399076792</v>
      </c>
    </row>
    <row r="44" spans="1:11" ht="10.5" customHeight="1">
      <c r="A44" s="72"/>
      <c r="B44" s="72"/>
      <c r="C44" s="72"/>
      <c r="D44" s="73" t="s">
        <v>353</v>
      </c>
      <c r="E44" s="74"/>
      <c r="F44" s="75"/>
      <c r="G44" s="61"/>
      <c r="H44" s="61"/>
      <c r="I44" s="65"/>
      <c r="J44" s="61">
        <v>3812.8</v>
      </c>
      <c r="K44" s="65">
        <f t="shared" si="0"/>
        <v>0</v>
      </c>
    </row>
    <row r="45" spans="1:11" ht="32.25" customHeight="1">
      <c r="A45" s="72"/>
      <c r="B45" s="72"/>
      <c r="C45" s="72">
        <v>28</v>
      </c>
      <c r="D45" s="74" t="s">
        <v>354</v>
      </c>
      <c r="E45" s="74" t="s">
        <v>60</v>
      </c>
      <c r="F45" s="75" t="s">
        <v>136</v>
      </c>
      <c r="G45" s="61"/>
      <c r="H45" s="61"/>
      <c r="I45" s="65"/>
      <c r="J45" s="61">
        <v>3812.8</v>
      </c>
      <c r="K45" s="65">
        <f t="shared" si="0"/>
        <v>0</v>
      </c>
    </row>
    <row r="46" spans="1:11" ht="22.5" customHeight="1">
      <c r="A46" s="72"/>
      <c r="B46" s="72"/>
      <c r="C46" s="72">
        <v>29</v>
      </c>
      <c r="D46" s="74" t="s">
        <v>355</v>
      </c>
      <c r="E46" s="74" t="s">
        <v>334</v>
      </c>
      <c r="F46" s="75" t="s">
        <v>136</v>
      </c>
      <c r="G46" s="61"/>
      <c r="H46" s="61"/>
      <c r="I46" s="65"/>
      <c r="J46" s="61">
        <v>3812.8</v>
      </c>
      <c r="K46" s="65">
        <f t="shared" si="0"/>
        <v>0</v>
      </c>
    </row>
    <row r="47" spans="1:11" ht="22.5" customHeight="1">
      <c r="A47" s="72"/>
      <c r="B47" s="72"/>
      <c r="C47" s="143" t="s">
        <v>356</v>
      </c>
      <c r="D47" s="143"/>
      <c r="E47" s="143"/>
      <c r="F47" s="143"/>
      <c r="G47" s="143"/>
      <c r="H47" s="143"/>
      <c r="I47" s="88"/>
      <c r="J47" s="61"/>
      <c r="K47" s="65"/>
    </row>
    <row r="48" spans="1:11" ht="18" customHeight="1">
      <c r="A48" s="72"/>
      <c r="B48" s="72"/>
      <c r="C48" s="72"/>
      <c r="D48" s="73" t="s">
        <v>357</v>
      </c>
      <c r="E48" s="87"/>
      <c r="F48" s="87"/>
      <c r="G48" s="87"/>
      <c r="H48" s="87"/>
      <c r="I48" s="89"/>
      <c r="J48" s="61"/>
      <c r="K48" s="65"/>
    </row>
    <row r="49" spans="1:11" ht="24" hidden="1">
      <c r="A49" s="72"/>
      <c r="B49" s="72"/>
      <c r="C49" s="72">
        <v>23</v>
      </c>
      <c r="D49" s="74" t="s">
        <v>358</v>
      </c>
      <c r="E49" s="74" t="s">
        <v>21</v>
      </c>
      <c r="F49" s="75" t="s">
        <v>311</v>
      </c>
      <c r="G49" s="61"/>
      <c r="H49" s="61">
        <v>3</v>
      </c>
      <c r="I49" s="86"/>
      <c r="J49" s="61">
        <v>3812.8</v>
      </c>
      <c r="K49" s="65">
        <f aca="true" t="shared" si="1" ref="K49:K90">I49/12/3812.8</f>
        <v>0</v>
      </c>
    </row>
    <row r="50" spans="1:11" ht="20.25" customHeight="1">
      <c r="A50" s="72">
        <v>20</v>
      </c>
      <c r="B50" s="72"/>
      <c r="C50" s="72">
        <v>30</v>
      </c>
      <c r="D50" s="74" t="s">
        <v>359</v>
      </c>
      <c r="E50" s="74" t="s">
        <v>360</v>
      </c>
      <c r="F50" s="75" t="s">
        <v>338</v>
      </c>
      <c r="G50" s="61">
        <v>1</v>
      </c>
      <c r="H50" s="61">
        <v>12</v>
      </c>
      <c r="I50" s="65">
        <f>G50*H50*51.42</f>
        <v>617.04</v>
      </c>
      <c r="J50" s="61">
        <v>3812.8</v>
      </c>
      <c r="K50" s="65">
        <f t="shared" si="1"/>
        <v>0.01348615190935795</v>
      </c>
    </row>
    <row r="51" spans="1:11" ht="34.5" customHeight="1">
      <c r="A51" s="142" t="s">
        <v>56</v>
      </c>
      <c r="B51" s="142"/>
      <c r="C51" s="72">
        <v>31</v>
      </c>
      <c r="D51" s="77" t="s">
        <v>361</v>
      </c>
      <c r="E51" s="74" t="s">
        <v>362</v>
      </c>
      <c r="F51" s="61" t="s">
        <v>311</v>
      </c>
      <c r="G51" s="61"/>
      <c r="H51" s="61"/>
      <c r="I51" s="65"/>
      <c r="J51" s="61">
        <v>3812.8</v>
      </c>
      <c r="K51" s="65">
        <f t="shared" si="1"/>
        <v>0</v>
      </c>
    </row>
    <row r="52" spans="1:11" ht="36.75" customHeight="1">
      <c r="A52" s="69"/>
      <c r="B52" s="69"/>
      <c r="C52" s="72">
        <v>32</v>
      </c>
      <c r="D52" s="77" t="s">
        <v>363</v>
      </c>
      <c r="E52" s="74" t="s">
        <v>60</v>
      </c>
      <c r="F52" s="61" t="s">
        <v>364</v>
      </c>
      <c r="G52" s="61"/>
      <c r="H52" s="61">
        <v>1</v>
      </c>
      <c r="I52" s="65">
        <f>G52*983.39</f>
        <v>0</v>
      </c>
      <c r="J52" s="61">
        <v>3812.8</v>
      </c>
      <c r="K52" s="65">
        <f t="shared" si="1"/>
        <v>0</v>
      </c>
    </row>
    <row r="53" spans="1:11" ht="31.5" customHeight="1">
      <c r="A53" s="69"/>
      <c r="B53" s="69"/>
      <c r="C53" s="72">
        <v>33</v>
      </c>
      <c r="D53" s="77" t="s">
        <v>365</v>
      </c>
      <c r="E53" s="74" t="s">
        <v>60</v>
      </c>
      <c r="F53" s="61" t="s">
        <v>364</v>
      </c>
      <c r="G53" s="61">
        <v>6</v>
      </c>
      <c r="H53" s="61">
        <v>1</v>
      </c>
      <c r="I53" s="65">
        <f>G53*58.127</f>
        <v>348.762</v>
      </c>
      <c r="J53" s="61">
        <v>3812.8</v>
      </c>
      <c r="K53" s="65">
        <f t="shared" si="1"/>
        <v>0.007622613302559799</v>
      </c>
    </row>
    <row r="54" spans="1:11" ht="30.75" customHeight="1">
      <c r="A54" s="69"/>
      <c r="B54" s="69"/>
      <c r="C54" s="72">
        <v>34</v>
      </c>
      <c r="D54" s="77" t="s">
        <v>366</v>
      </c>
      <c r="E54" s="74" t="s">
        <v>60</v>
      </c>
      <c r="F54" s="61" t="s">
        <v>364</v>
      </c>
      <c r="G54" s="61">
        <v>6</v>
      </c>
      <c r="H54" s="61"/>
      <c r="I54" s="65">
        <f>G54*450.26</f>
        <v>2701.56</v>
      </c>
      <c r="J54" s="61">
        <v>3812.8</v>
      </c>
      <c r="K54" s="65">
        <f t="shared" si="1"/>
        <v>0.059045845572807384</v>
      </c>
    </row>
    <row r="55" spans="1:11" ht="21" customHeight="1">
      <c r="A55" s="69"/>
      <c r="B55" s="69"/>
      <c r="C55" s="72">
        <v>35</v>
      </c>
      <c r="D55" s="77" t="s">
        <v>367</v>
      </c>
      <c r="E55" s="74" t="s">
        <v>60</v>
      </c>
      <c r="F55" s="61" t="s">
        <v>364</v>
      </c>
      <c r="G55" s="61"/>
      <c r="H55" s="61"/>
      <c r="I55" s="65"/>
      <c r="J55" s="61">
        <v>3812.8</v>
      </c>
      <c r="K55" s="65">
        <f t="shared" si="1"/>
        <v>0</v>
      </c>
    </row>
    <row r="56" spans="1:11" ht="21" customHeight="1">
      <c r="A56" s="69"/>
      <c r="B56" s="69"/>
      <c r="C56" s="72">
        <v>36</v>
      </c>
      <c r="D56" s="77" t="s">
        <v>368</v>
      </c>
      <c r="E56" s="74" t="s">
        <v>60</v>
      </c>
      <c r="F56" s="61" t="s">
        <v>364</v>
      </c>
      <c r="G56" s="61">
        <f>2+1+1+15+5</f>
        <v>24</v>
      </c>
      <c r="H56" s="61"/>
      <c r="I56" s="65">
        <f>G56*23.461</f>
        <v>563.064</v>
      </c>
      <c r="J56" s="61">
        <v>3812.8</v>
      </c>
      <c r="K56" s="65">
        <f t="shared" si="1"/>
        <v>0.012306441460344103</v>
      </c>
    </row>
    <row r="57" spans="1:11" ht="22.5" customHeight="1">
      <c r="A57" s="69"/>
      <c r="B57" s="69"/>
      <c r="C57" s="72">
        <v>37</v>
      </c>
      <c r="D57" s="77" t="s">
        <v>369</v>
      </c>
      <c r="E57" s="74" t="s">
        <v>60</v>
      </c>
      <c r="F57" s="61" t="s">
        <v>364</v>
      </c>
      <c r="G57" s="61">
        <f>10+40+3</f>
        <v>53</v>
      </c>
      <c r="H57" s="61"/>
      <c r="I57" s="65">
        <f>G57*31.254</f>
        <v>1656.462</v>
      </c>
      <c r="J57" s="61">
        <v>3812.8</v>
      </c>
      <c r="K57" s="65">
        <f t="shared" si="1"/>
        <v>0.036203970835081825</v>
      </c>
    </row>
    <row r="58" spans="1:11" ht="20.25" customHeight="1">
      <c r="A58" s="69"/>
      <c r="B58" s="69"/>
      <c r="C58" s="72">
        <v>38</v>
      </c>
      <c r="D58" s="77" t="s">
        <v>370</v>
      </c>
      <c r="E58" s="74" t="s">
        <v>60</v>
      </c>
      <c r="F58" s="61" t="s">
        <v>364</v>
      </c>
      <c r="G58" s="61"/>
      <c r="H58" s="61"/>
      <c r="I58" s="65"/>
      <c r="J58" s="61">
        <v>3812.8</v>
      </c>
      <c r="K58" s="65">
        <f t="shared" si="1"/>
        <v>0</v>
      </c>
    </row>
    <row r="59" spans="1:11" ht="21" customHeight="1">
      <c r="A59" s="69"/>
      <c r="B59" s="69"/>
      <c r="C59" s="72">
        <v>39</v>
      </c>
      <c r="D59" s="77" t="s">
        <v>371</v>
      </c>
      <c r="E59" s="74" t="s">
        <v>60</v>
      </c>
      <c r="F59" s="61" t="s">
        <v>372</v>
      </c>
      <c r="G59" s="61">
        <f>2+4+4+4+1+4</f>
        <v>19</v>
      </c>
      <c r="H59" s="61"/>
      <c r="I59" s="65">
        <f>G59*110.968</f>
        <v>2108.3920000000003</v>
      </c>
      <c r="J59" s="61">
        <v>3812.8</v>
      </c>
      <c r="K59" s="65">
        <f t="shared" si="1"/>
        <v>0.046081444957336695</v>
      </c>
    </row>
    <row r="60" spans="1:11" ht="19.5" customHeight="1">
      <c r="A60" s="69"/>
      <c r="B60" s="69"/>
      <c r="C60" s="72">
        <v>40</v>
      </c>
      <c r="D60" s="77" t="s">
        <v>373</v>
      </c>
      <c r="E60" s="74" t="s">
        <v>60</v>
      </c>
      <c r="F60" s="61" t="s">
        <v>372</v>
      </c>
      <c r="G60" s="61">
        <v>6</v>
      </c>
      <c r="H60" s="61"/>
      <c r="I60" s="65"/>
      <c r="J60" s="61">
        <v>3812.8</v>
      </c>
      <c r="K60" s="65">
        <f t="shared" si="1"/>
        <v>0</v>
      </c>
    </row>
    <row r="61" spans="1:11" ht="19.5" customHeight="1">
      <c r="A61" s="69"/>
      <c r="B61" s="69"/>
      <c r="C61" s="72">
        <v>41</v>
      </c>
      <c r="D61" s="77" t="s">
        <v>374</v>
      </c>
      <c r="E61" s="74" t="s">
        <v>60</v>
      </c>
      <c r="F61" s="61" t="s">
        <v>372</v>
      </c>
      <c r="G61" s="61">
        <v>2</v>
      </c>
      <c r="H61" s="61"/>
      <c r="I61" s="65">
        <f>G61*580.19</f>
        <v>1160.38</v>
      </c>
      <c r="J61" s="61">
        <v>3812.8</v>
      </c>
      <c r="K61" s="65">
        <f t="shared" si="1"/>
        <v>0.02536150160861659</v>
      </c>
    </row>
    <row r="62" spans="1:11" ht="22.5" customHeight="1">
      <c r="A62" s="69"/>
      <c r="B62" s="69"/>
      <c r="C62" s="72">
        <v>42</v>
      </c>
      <c r="D62" s="77" t="s">
        <v>375</v>
      </c>
      <c r="E62" s="74" t="s">
        <v>60</v>
      </c>
      <c r="F62" s="61" t="s">
        <v>372</v>
      </c>
      <c r="G62" s="61">
        <v>2</v>
      </c>
      <c r="H62" s="61"/>
      <c r="I62" s="65">
        <f>G62*941.18</f>
        <v>1882.36</v>
      </c>
      <c r="J62" s="61">
        <v>3812.8</v>
      </c>
      <c r="K62" s="65">
        <f t="shared" si="1"/>
        <v>0.04114124353056371</v>
      </c>
    </row>
    <row r="63" spans="1:11" ht="24" customHeight="1">
      <c r="A63" s="69"/>
      <c r="B63" s="69"/>
      <c r="C63" s="72">
        <v>43</v>
      </c>
      <c r="D63" s="77" t="s">
        <v>376</v>
      </c>
      <c r="E63" s="74" t="s">
        <v>60</v>
      </c>
      <c r="F63" s="61" t="s">
        <v>372</v>
      </c>
      <c r="G63" s="61">
        <f>2+1+1</f>
        <v>4</v>
      </c>
      <c r="H63" s="61"/>
      <c r="I63" s="65">
        <f>G63*1061.36</f>
        <v>4245.44</v>
      </c>
      <c r="J63" s="61">
        <v>3812.8</v>
      </c>
      <c r="K63" s="65">
        <f t="shared" si="1"/>
        <v>0.09278920128689326</v>
      </c>
    </row>
    <row r="64" spans="1:11" ht="21" customHeight="1">
      <c r="A64" s="69"/>
      <c r="B64" s="69"/>
      <c r="C64" s="72">
        <v>44</v>
      </c>
      <c r="D64" s="77" t="s">
        <v>367</v>
      </c>
      <c r="E64" s="74" t="s">
        <v>60</v>
      </c>
      <c r="F64" s="61" t="s">
        <v>364</v>
      </c>
      <c r="G64" s="61"/>
      <c r="H64" s="61"/>
      <c r="I64" s="65"/>
      <c r="J64" s="61">
        <v>3812.8</v>
      </c>
      <c r="K64" s="65">
        <f t="shared" si="1"/>
        <v>0</v>
      </c>
    </row>
    <row r="65" spans="1:11" ht="15.75" customHeight="1">
      <c r="A65" s="69"/>
      <c r="B65" s="69"/>
      <c r="C65" s="72">
        <v>45</v>
      </c>
      <c r="D65" s="77" t="s">
        <v>377</v>
      </c>
      <c r="E65" s="74" t="s">
        <v>60</v>
      </c>
      <c r="F65" s="61" t="s">
        <v>338</v>
      </c>
      <c r="G65" s="61">
        <f>1+1+3+1+8+1+1</f>
        <v>16</v>
      </c>
      <c r="H65" s="61">
        <v>1</v>
      </c>
      <c r="I65" s="65">
        <f>G65*55.803</f>
        <v>892.848</v>
      </c>
      <c r="J65" s="61">
        <v>3812.8</v>
      </c>
      <c r="K65" s="65">
        <f t="shared" si="1"/>
        <v>0.01951426772975241</v>
      </c>
    </row>
    <row r="66" spans="1:11" ht="15.75" customHeight="1">
      <c r="A66" s="69"/>
      <c r="B66" s="69"/>
      <c r="C66" s="72">
        <v>46</v>
      </c>
      <c r="D66" s="77" t="s">
        <v>378</v>
      </c>
      <c r="E66" s="74" t="s">
        <v>60</v>
      </c>
      <c r="F66" s="61" t="s">
        <v>338</v>
      </c>
      <c r="G66" s="61">
        <f>2+2+2+5+2</f>
        <v>13</v>
      </c>
      <c r="H66" s="61">
        <v>1</v>
      </c>
      <c r="I66" s="65">
        <f>G66*245.61</f>
        <v>3192.9300000000003</v>
      </c>
      <c r="J66" s="61">
        <v>3812.8</v>
      </c>
      <c r="K66" s="65">
        <f t="shared" si="1"/>
        <v>0.06978532836760387</v>
      </c>
    </row>
    <row r="67" spans="1:11" ht="15" customHeight="1">
      <c r="A67" s="69"/>
      <c r="B67" s="69"/>
      <c r="C67" s="72">
        <v>47</v>
      </c>
      <c r="D67" s="77" t="s">
        <v>379</v>
      </c>
      <c r="E67" s="74" t="s">
        <v>60</v>
      </c>
      <c r="F67" s="61" t="s">
        <v>338</v>
      </c>
      <c r="G67" s="61">
        <f>3+6+1+5+5+4+2+2+4+2+3+4</f>
        <v>41</v>
      </c>
      <c r="H67" s="61">
        <v>1</v>
      </c>
      <c r="I67" s="65">
        <f>G67*30.5</f>
        <v>1250.5</v>
      </c>
      <c r="J67" s="61">
        <v>3812.8</v>
      </c>
      <c r="K67" s="65">
        <f t="shared" si="1"/>
        <v>0.02733118268289271</v>
      </c>
    </row>
    <row r="68" spans="1:11" ht="15" customHeight="1">
      <c r="A68" s="69"/>
      <c r="B68" s="69"/>
      <c r="C68" s="72">
        <v>48</v>
      </c>
      <c r="D68" s="77" t="s">
        <v>380</v>
      </c>
      <c r="E68" s="74" t="s">
        <v>60</v>
      </c>
      <c r="F68" s="61" t="s">
        <v>338</v>
      </c>
      <c r="G68" s="61">
        <f>22+4+4+4+1+2+2+4+5+22</f>
        <v>70</v>
      </c>
      <c r="H68" s="61">
        <v>1</v>
      </c>
      <c r="I68" s="65">
        <f>G68*13.058</f>
        <v>914.06</v>
      </c>
      <c r="J68" s="61">
        <v>3812.8</v>
      </c>
      <c r="K68" s="65">
        <f t="shared" si="1"/>
        <v>0.019977881521891172</v>
      </c>
    </row>
    <row r="69" spans="1:11" ht="15" customHeight="1">
      <c r="A69" s="69"/>
      <c r="B69" s="69"/>
      <c r="C69" s="72">
        <v>49</v>
      </c>
      <c r="D69" s="77" t="s">
        <v>381</v>
      </c>
      <c r="E69" s="74" t="s">
        <v>60</v>
      </c>
      <c r="F69" s="61" t="s">
        <v>338</v>
      </c>
      <c r="G69" s="61">
        <f>25+19+11+9+64+16</f>
        <v>144</v>
      </c>
      <c r="H69" s="61"/>
      <c r="I69" s="65">
        <f>G69*17.851</f>
        <v>2570.544</v>
      </c>
      <c r="J69" s="61">
        <v>3812.8</v>
      </c>
      <c r="K69" s="65">
        <f t="shared" si="1"/>
        <v>0.05618233319345362</v>
      </c>
    </row>
    <row r="70" spans="1:11" ht="23.25" customHeight="1">
      <c r="A70" s="69"/>
      <c r="B70" s="69"/>
      <c r="C70" s="72">
        <v>50</v>
      </c>
      <c r="D70" s="77" t="s">
        <v>382</v>
      </c>
      <c r="E70" s="74" t="s">
        <v>60</v>
      </c>
      <c r="F70" s="61" t="s">
        <v>338</v>
      </c>
      <c r="G70" s="61">
        <f>1+1+3+1+8+1+1</f>
        <v>16</v>
      </c>
      <c r="H70" s="61"/>
      <c r="I70" s="65"/>
      <c r="J70" s="61">
        <v>3812.8</v>
      </c>
      <c r="K70" s="65">
        <f t="shared" si="1"/>
        <v>0</v>
      </c>
    </row>
    <row r="71" spans="1:11" ht="21.75" customHeight="1">
      <c r="A71" s="69"/>
      <c r="B71" s="69"/>
      <c r="C71" s="72">
        <v>51</v>
      </c>
      <c r="D71" s="77" t="s">
        <v>383</v>
      </c>
      <c r="E71" s="74" t="s">
        <v>60</v>
      </c>
      <c r="F71" s="61" t="s">
        <v>111</v>
      </c>
      <c r="G71" s="61">
        <f>2+5+2</f>
        <v>9</v>
      </c>
      <c r="H71" s="61"/>
      <c r="I71" s="65">
        <f>G71*94.6</f>
        <v>851.4</v>
      </c>
      <c r="J71" s="61">
        <v>3812.8</v>
      </c>
      <c r="K71" s="65">
        <f t="shared" si="1"/>
        <v>0.018608371800251784</v>
      </c>
    </row>
    <row r="72" spans="1:11" ht="18" customHeight="1">
      <c r="A72" s="69"/>
      <c r="B72" s="69"/>
      <c r="C72" s="72">
        <v>52</v>
      </c>
      <c r="D72" s="77" t="s">
        <v>384</v>
      </c>
      <c r="E72" s="74" t="s">
        <v>60</v>
      </c>
      <c r="F72" s="61" t="s">
        <v>338</v>
      </c>
      <c r="G72" s="61">
        <f>3+6+1+4+5+4+5+4+4+1+1+2+4+2+2+2+4+3+5+4</f>
        <v>66</v>
      </c>
      <c r="H72" s="61"/>
      <c r="I72" s="65">
        <f>G72*8.441</f>
        <v>557.106</v>
      </c>
      <c r="J72" s="61">
        <v>3812.8</v>
      </c>
      <c r="K72" s="65">
        <f t="shared" si="1"/>
        <v>0.012176222198908938</v>
      </c>
    </row>
    <row r="73" spans="1:11" ht="12.75" customHeight="1">
      <c r="A73" s="72">
        <v>22</v>
      </c>
      <c r="B73" s="72" t="s">
        <v>58</v>
      </c>
      <c r="C73" s="72">
        <v>53</v>
      </c>
      <c r="D73" s="77" t="s">
        <v>385</v>
      </c>
      <c r="E73" s="74" t="s">
        <v>60</v>
      </c>
      <c r="F73" s="75" t="s">
        <v>338</v>
      </c>
      <c r="G73" s="61">
        <f>19+27</f>
        <v>46</v>
      </c>
      <c r="H73" s="61"/>
      <c r="I73" s="65">
        <f>G73*79.38</f>
        <v>3651.4799999999996</v>
      </c>
      <c r="J73" s="61">
        <v>3812.8</v>
      </c>
      <c r="K73" s="65">
        <f t="shared" si="1"/>
        <v>0.07980749055812</v>
      </c>
    </row>
    <row r="74" spans="1:11" ht="18" customHeight="1">
      <c r="A74" s="72"/>
      <c r="B74" s="72"/>
      <c r="C74" s="72">
        <v>54</v>
      </c>
      <c r="D74" s="77" t="s">
        <v>386</v>
      </c>
      <c r="E74" s="74" t="s">
        <v>158</v>
      </c>
      <c r="F74" s="75" t="s">
        <v>111</v>
      </c>
      <c r="G74" s="61">
        <f>2+2</f>
        <v>4</v>
      </c>
      <c r="H74" s="61">
        <v>1</v>
      </c>
      <c r="I74" s="85">
        <f>G74*1337.86</f>
        <v>5351.44</v>
      </c>
      <c r="J74" s="61">
        <v>3812.8</v>
      </c>
      <c r="K74" s="65">
        <f t="shared" si="1"/>
        <v>0.11696216254021541</v>
      </c>
    </row>
    <row r="75" spans="1:11" ht="18.75" customHeight="1">
      <c r="A75" s="72"/>
      <c r="B75" s="72"/>
      <c r="C75" s="72">
        <v>55</v>
      </c>
      <c r="D75" s="77" t="s">
        <v>387</v>
      </c>
      <c r="E75" s="77" t="s">
        <v>68</v>
      </c>
      <c r="F75" s="75" t="s">
        <v>111</v>
      </c>
      <c r="G75" s="61">
        <f>1+2+1+2</f>
        <v>6</v>
      </c>
      <c r="H75" s="61">
        <v>1</v>
      </c>
      <c r="I75" s="65">
        <f>G75*465.59</f>
        <v>2793.54</v>
      </c>
      <c r="J75" s="61">
        <v>3812.8</v>
      </c>
      <c r="K75" s="65">
        <f t="shared" si="1"/>
        <v>0.06105617918590012</v>
      </c>
    </row>
    <row r="76" spans="1:11" ht="12.75" customHeight="1" hidden="1">
      <c r="A76" s="72"/>
      <c r="B76" s="72"/>
      <c r="C76" s="72">
        <v>56</v>
      </c>
      <c r="D76" s="77" t="s">
        <v>388</v>
      </c>
      <c r="E76" s="77" t="s">
        <v>68</v>
      </c>
      <c r="F76" s="75" t="s">
        <v>338</v>
      </c>
      <c r="G76" s="61"/>
      <c r="H76" s="61"/>
      <c r="I76" s="65"/>
      <c r="J76" s="61">
        <v>3812.8</v>
      </c>
      <c r="K76" s="65">
        <f t="shared" si="1"/>
        <v>0</v>
      </c>
    </row>
    <row r="77" spans="1:11" ht="15.75" customHeight="1">
      <c r="A77" s="72"/>
      <c r="B77" s="72"/>
      <c r="C77" s="72">
        <v>57</v>
      </c>
      <c r="D77" s="77" t="s">
        <v>389</v>
      </c>
      <c r="E77" s="74" t="s">
        <v>60</v>
      </c>
      <c r="F77" s="75" t="s">
        <v>364</v>
      </c>
      <c r="G77" s="61">
        <f>10+3</f>
        <v>13</v>
      </c>
      <c r="H77" s="61"/>
      <c r="I77" s="65">
        <f>G77*332</f>
        <v>4316</v>
      </c>
      <c r="J77" s="61">
        <v>3812.8</v>
      </c>
      <c r="K77" s="65">
        <f t="shared" si="1"/>
        <v>0.09433137501748497</v>
      </c>
    </row>
    <row r="78" spans="1:11" ht="12.75" customHeight="1" hidden="1">
      <c r="A78" s="72"/>
      <c r="B78" s="72"/>
      <c r="C78" s="72">
        <v>58</v>
      </c>
      <c r="D78" s="77" t="s">
        <v>390</v>
      </c>
      <c r="E78" s="74" t="s">
        <v>60</v>
      </c>
      <c r="F78" s="75" t="s">
        <v>372</v>
      </c>
      <c r="G78" s="61">
        <v>1</v>
      </c>
      <c r="H78" s="61"/>
      <c r="I78" s="65"/>
      <c r="J78" s="61"/>
      <c r="K78" s="65">
        <f t="shared" si="1"/>
        <v>0</v>
      </c>
    </row>
    <row r="79" spans="1:11" ht="12.75" customHeight="1" hidden="1">
      <c r="A79" s="72"/>
      <c r="B79" s="72"/>
      <c r="C79" s="72">
        <v>59</v>
      </c>
      <c r="D79" s="77" t="s">
        <v>391</v>
      </c>
      <c r="E79" s="74" t="s">
        <v>60</v>
      </c>
      <c r="F79" s="75" t="s">
        <v>364</v>
      </c>
      <c r="G79" s="61"/>
      <c r="H79" s="61"/>
      <c r="I79" s="65"/>
      <c r="J79" s="61">
        <v>3812.8</v>
      </c>
      <c r="K79" s="65">
        <f t="shared" si="1"/>
        <v>0</v>
      </c>
    </row>
    <row r="80" spans="1:11" ht="12.75" customHeight="1" hidden="1">
      <c r="A80" s="72"/>
      <c r="B80" s="72"/>
      <c r="C80" s="72">
        <v>60</v>
      </c>
      <c r="D80" s="77" t="s">
        <v>392</v>
      </c>
      <c r="E80" s="74" t="s">
        <v>60</v>
      </c>
      <c r="F80" s="75" t="s">
        <v>393</v>
      </c>
      <c r="G80" s="61"/>
      <c r="H80" s="61"/>
      <c r="I80" s="58">
        <f>G80*6409</f>
        <v>0</v>
      </c>
      <c r="J80" s="61">
        <v>3812.8</v>
      </c>
      <c r="K80" s="65">
        <f t="shared" si="1"/>
        <v>0</v>
      </c>
    </row>
    <row r="81" spans="1:11" ht="12.75" customHeight="1">
      <c r="A81" s="72">
        <v>66</v>
      </c>
      <c r="B81" s="72" t="s">
        <v>82</v>
      </c>
      <c r="C81" s="72">
        <v>61</v>
      </c>
      <c r="D81" s="77" t="s">
        <v>100</v>
      </c>
      <c r="E81" s="77" t="s">
        <v>68</v>
      </c>
      <c r="F81" s="75" t="s">
        <v>364</v>
      </c>
      <c r="G81" s="61">
        <f>105+45</f>
        <v>150</v>
      </c>
      <c r="H81" s="61">
        <v>6</v>
      </c>
      <c r="I81" s="58">
        <f>G81*H81*2.03</f>
        <v>1826.9999999999998</v>
      </c>
      <c r="J81" s="61">
        <v>3812.8</v>
      </c>
      <c r="K81" s="65">
        <f t="shared" si="1"/>
        <v>0.039931284095677706</v>
      </c>
    </row>
    <row r="82" spans="1:11" ht="12.75" customHeight="1">
      <c r="A82" s="72"/>
      <c r="B82" s="72"/>
      <c r="C82" s="72">
        <v>62</v>
      </c>
      <c r="D82" s="77" t="s">
        <v>394</v>
      </c>
      <c r="E82" s="77" t="s">
        <v>68</v>
      </c>
      <c r="F82" s="75" t="s">
        <v>111</v>
      </c>
      <c r="G82" s="61">
        <f>11+12+12+4+8</f>
        <v>47</v>
      </c>
      <c r="H82" s="61"/>
      <c r="I82" s="58">
        <f>G82*48.59</f>
        <v>2283.73</v>
      </c>
      <c r="J82" s="61">
        <v>3812.8</v>
      </c>
      <c r="K82" s="65">
        <f t="shared" si="1"/>
        <v>0.049913667995523846</v>
      </c>
    </row>
    <row r="83" spans="1:11" ht="12.75" customHeight="1" hidden="1">
      <c r="A83" s="72">
        <v>73</v>
      </c>
      <c r="B83" s="72" t="s">
        <v>86</v>
      </c>
      <c r="C83" s="72">
        <v>63</v>
      </c>
      <c r="D83" s="77" t="s">
        <v>395</v>
      </c>
      <c r="E83" s="77" t="s">
        <v>23</v>
      </c>
      <c r="F83" s="75" t="s">
        <v>396</v>
      </c>
      <c r="G83" s="61"/>
      <c r="H83" s="61">
        <v>1</v>
      </c>
      <c r="I83" s="58">
        <f>G83*0.46</f>
        <v>0</v>
      </c>
      <c r="J83" s="61">
        <v>3812.8</v>
      </c>
      <c r="K83" s="65">
        <f t="shared" si="1"/>
        <v>0</v>
      </c>
    </row>
    <row r="84" spans="1:11" ht="21.75" customHeight="1">
      <c r="A84" s="72">
        <v>84</v>
      </c>
      <c r="B84" s="72" t="s">
        <v>91</v>
      </c>
      <c r="C84" s="72">
        <v>64</v>
      </c>
      <c r="D84" s="77" t="s">
        <v>92</v>
      </c>
      <c r="E84" s="77" t="s">
        <v>68</v>
      </c>
      <c r="F84" s="75" t="s">
        <v>74</v>
      </c>
      <c r="G84" s="61">
        <v>25</v>
      </c>
      <c r="H84" s="61">
        <v>12</v>
      </c>
      <c r="I84" s="58">
        <f>G84*49.19</f>
        <v>1229.75</v>
      </c>
      <c r="J84" s="61">
        <v>3812.8</v>
      </c>
      <c r="K84" s="65">
        <f t="shared" si="1"/>
        <v>0.02687766645684711</v>
      </c>
    </row>
    <row r="85" spans="1:11" ht="12.75" customHeight="1" hidden="1">
      <c r="A85" s="72">
        <v>87</v>
      </c>
      <c r="B85" s="72" t="s">
        <v>93</v>
      </c>
      <c r="C85" s="72">
        <v>65</v>
      </c>
      <c r="D85" s="77" t="s">
        <v>94</v>
      </c>
      <c r="E85" s="77" t="s">
        <v>23</v>
      </c>
      <c r="F85" s="75" t="s">
        <v>95</v>
      </c>
      <c r="G85" s="61"/>
      <c r="H85" s="61"/>
      <c r="I85" s="86"/>
      <c r="J85" s="61">
        <v>3812.8</v>
      </c>
      <c r="K85" s="65">
        <f t="shared" si="1"/>
        <v>0</v>
      </c>
    </row>
    <row r="86" spans="1:11" ht="24.75" customHeight="1">
      <c r="A86" s="72"/>
      <c r="B86" s="72"/>
      <c r="C86" s="72">
        <v>66</v>
      </c>
      <c r="D86" s="77" t="s">
        <v>397</v>
      </c>
      <c r="E86" s="77" t="s">
        <v>68</v>
      </c>
      <c r="F86" s="75" t="s">
        <v>398</v>
      </c>
      <c r="G86" s="61">
        <f>3.65+4.526+3.65</f>
        <v>11.826</v>
      </c>
      <c r="H86" s="61"/>
      <c r="I86" s="85">
        <f>G86*21.35</f>
        <v>252.48510000000002</v>
      </c>
      <c r="J86" s="61">
        <v>3812.8</v>
      </c>
      <c r="K86" s="65">
        <f t="shared" si="1"/>
        <v>0.005518365767939572</v>
      </c>
    </row>
    <row r="87" spans="1:11" ht="12.75" customHeight="1" hidden="1">
      <c r="A87" s="72"/>
      <c r="B87" s="72"/>
      <c r="C87" s="72">
        <v>67</v>
      </c>
      <c r="D87" s="77" t="s">
        <v>399</v>
      </c>
      <c r="E87" s="77" t="s">
        <v>68</v>
      </c>
      <c r="F87" s="75" t="s">
        <v>338</v>
      </c>
      <c r="G87" s="61"/>
      <c r="H87" s="61"/>
      <c r="I87" s="85">
        <f>G87*312.52</f>
        <v>0</v>
      </c>
      <c r="J87" s="61">
        <v>3812.8</v>
      </c>
      <c r="K87" s="65">
        <f t="shared" si="1"/>
        <v>0</v>
      </c>
    </row>
    <row r="88" spans="1:11" ht="12.75" customHeight="1" hidden="1">
      <c r="A88" s="72"/>
      <c r="B88" s="72"/>
      <c r="C88" s="72">
        <v>68</v>
      </c>
      <c r="D88" s="77" t="s">
        <v>400</v>
      </c>
      <c r="E88" s="77" t="s">
        <v>68</v>
      </c>
      <c r="F88" s="75" t="s">
        <v>338</v>
      </c>
      <c r="G88" s="61"/>
      <c r="H88" s="61"/>
      <c r="I88" s="85">
        <f>G88*135.54</f>
        <v>0</v>
      </c>
      <c r="J88" s="61">
        <v>3812.8</v>
      </c>
      <c r="K88" s="65">
        <f t="shared" si="1"/>
        <v>0</v>
      </c>
    </row>
    <row r="89" spans="1:11" ht="15.75" customHeight="1">
      <c r="A89" s="72"/>
      <c r="B89" s="72"/>
      <c r="C89" s="72">
        <v>69</v>
      </c>
      <c r="D89" s="77" t="s">
        <v>401</v>
      </c>
      <c r="E89" s="74" t="s">
        <v>158</v>
      </c>
      <c r="F89" s="75" t="s">
        <v>402</v>
      </c>
      <c r="G89" s="61"/>
      <c r="H89" s="61"/>
      <c r="I89" s="85">
        <v>206325.67</v>
      </c>
      <c r="J89" s="61">
        <v>3812.8</v>
      </c>
      <c r="K89" s="65">
        <f t="shared" si="1"/>
        <v>4.509495864806267</v>
      </c>
    </row>
    <row r="90" spans="1:11" ht="23.25" customHeight="1">
      <c r="A90" s="72"/>
      <c r="B90" s="72"/>
      <c r="C90" s="72">
        <v>70</v>
      </c>
      <c r="D90" s="77" t="s">
        <v>79</v>
      </c>
      <c r="E90" s="77" t="s">
        <v>68</v>
      </c>
      <c r="F90" s="75" t="s">
        <v>403</v>
      </c>
      <c r="G90" s="61">
        <f>22+30+1</f>
        <v>53</v>
      </c>
      <c r="H90" s="61"/>
      <c r="I90" s="85">
        <f>G90*23.39</f>
        <v>1239.67</v>
      </c>
      <c r="J90" s="61">
        <v>3812.8</v>
      </c>
      <c r="K90" s="65">
        <f t="shared" si="1"/>
        <v>0.027094479997202405</v>
      </c>
    </row>
    <row r="91" spans="1:11" ht="15.75" customHeight="1">
      <c r="A91" s="142" t="s">
        <v>101</v>
      </c>
      <c r="B91" s="142"/>
      <c r="C91" s="78"/>
      <c r="D91" s="144" t="s">
        <v>102</v>
      </c>
      <c r="E91" s="144"/>
      <c r="F91" s="144"/>
      <c r="G91" s="90"/>
      <c r="H91" s="90"/>
      <c r="I91" s="65"/>
      <c r="J91" s="61"/>
      <c r="K91" s="65"/>
    </row>
    <row r="92" spans="1:11" ht="15.75" customHeight="1">
      <c r="A92" s="69"/>
      <c r="B92" s="69"/>
      <c r="C92" s="78">
        <v>71</v>
      </c>
      <c r="D92" s="77" t="s">
        <v>104</v>
      </c>
      <c r="E92" s="77" t="s">
        <v>68</v>
      </c>
      <c r="F92" s="83" t="s">
        <v>338</v>
      </c>
      <c r="G92" s="61">
        <f>4+5+25+20+20+1+22+12</f>
        <v>109</v>
      </c>
      <c r="H92" s="90">
        <v>1</v>
      </c>
      <c r="I92" s="65">
        <f>G92*2.263</f>
        <v>246.667</v>
      </c>
      <c r="J92" s="61">
        <v>3812.8</v>
      </c>
      <c r="K92" s="65">
        <f aca="true" t="shared" si="2" ref="K92:K117">I92/12/3812.8</f>
        <v>0.005391204189397119</v>
      </c>
    </row>
    <row r="93" spans="1:11" ht="15.75" customHeight="1">
      <c r="A93" s="69"/>
      <c r="B93" s="69"/>
      <c r="C93" s="78">
        <v>72</v>
      </c>
      <c r="D93" s="77" t="s">
        <v>404</v>
      </c>
      <c r="E93" s="77" t="s">
        <v>68</v>
      </c>
      <c r="F93" s="83" t="s">
        <v>338</v>
      </c>
      <c r="G93" s="61">
        <f>5+6+3+15+36+3</f>
        <v>68</v>
      </c>
      <c r="H93" s="90">
        <v>1</v>
      </c>
      <c r="I93" s="65">
        <f>G93*6.527</f>
        <v>443.836</v>
      </c>
      <c r="J93" s="61">
        <v>3812.8</v>
      </c>
      <c r="K93" s="65">
        <f t="shared" si="2"/>
        <v>0.00970057000979158</v>
      </c>
    </row>
    <row r="94" spans="1:11" ht="12.75" customHeight="1" hidden="1">
      <c r="A94" s="69"/>
      <c r="B94" s="69"/>
      <c r="C94" s="78">
        <v>73</v>
      </c>
      <c r="D94" s="77" t="s">
        <v>405</v>
      </c>
      <c r="E94" s="77" t="s">
        <v>68</v>
      </c>
      <c r="F94" s="83" t="s">
        <v>338</v>
      </c>
      <c r="G94" s="61"/>
      <c r="H94" s="90"/>
      <c r="I94" s="65"/>
      <c r="J94" s="61">
        <v>3812.8</v>
      </c>
      <c r="K94" s="65">
        <f t="shared" si="2"/>
        <v>0</v>
      </c>
    </row>
    <row r="95" spans="1:11" ht="18" customHeight="1">
      <c r="A95" s="69"/>
      <c r="B95" s="69"/>
      <c r="C95" s="78">
        <v>74</v>
      </c>
      <c r="D95" s="77" t="s">
        <v>406</v>
      </c>
      <c r="E95" s="77" t="s">
        <v>68</v>
      </c>
      <c r="F95" s="83" t="s">
        <v>338</v>
      </c>
      <c r="G95" s="61">
        <f>1</f>
        <v>1</v>
      </c>
      <c r="H95" s="90">
        <v>1</v>
      </c>
      <c r="I95" s="65">
        <f>G95*5421</f>
        <v>5421</v>
      </c>
      <c r="J95" s="61">
        <v>3812.8</v>
      </c>
      <c r="K95" s="65">
        <f t="shared" si="2"/>
        <v>0.11848248006714225</v>
      </c>
    </row>
    <row r="96" spans="1:11" ht="15.75" customHeight="1">
      <c r="A96" s="69"/>
      <c r="B96" s="69"/>
      <c r="C96" s="78">
        <v>75</v>
      </c>
      <c r="D96" s="77" t="s">
        <v>407</v>
      </c>
      <c r="E96" s="77" t="s">
        <v>68</v>
      </c>
      <c r="F96" s="83" t="s">
        <v>338</v>
      </c>
      <c r="G96" s="61">
        <f>2+20+24</f>
        <v>46</v>
      </c>
      <c r="H96" s="90">
        <v>1</v>
      </c>
      <c r="I96" s="65">
        <f>G96*632.89</f>
        <v>29112.94</v>
      </c>
      <c r="J96" s="61">
        <v>3812.8</v>
      </c>
      <c r="K96" s="65">
        <f t="shared" si="2"/>
        <v>0.6362983459225067</v>
      </c>
    </row>
    <row r="97" spans="1:11" ht="12.75" customHeight="1" hidden="1">
      <c r="A97" s="69"/>
      <c r="B97" s="69"/>
      <c r="C97" s="78">
        <v>76</v>
      </c>
      <c r="D97" s="77" t="s">
        <v>408</v>
      </c>
      <c r="E97" s="77" t="s">
        <v>68</v>
      </c>
      <c r="F97" s="83" t="s">
        <v>338</v>
      </c>
      <c r="G97" s="61"/>
      <c r="H97" s="90"/>
      <c r="I97" s="65">
        <f>G97*83.23</f>
        <v>0</v>
      </c>
      <c r="J97" s="61">
        <v>3812.8</v>
      </c>
      <c r="K97" s="65">
        <f t="shared" si="2"/>
        <v>0</v>
      </c>
    </row>
    <row r="98" spans="1:11" ht="12.75" customHeight="1">
      <c r="A98" s="72">
        <v>712</v>
      </c>
      <c r="B98" s="72" t="s">
        <v>103</v>
      </c>
      <c r="C98" s="72">
        <v>77</v>
      </c>
      <c r="D98" s="74" t="s">
        <v>409</v>
      </c>
      <c r="E98" s="77" t="s">
        <v>68</v>
      </c>
      <c r="F98" s="83" t="s">
        <v>338</v>
      </c>
      <c r="G98" s="61">
        <v>1</v>
      </c>
      <c r="H98" s="61">
        <v>1</v>
      </c>
      <c r="I98" s="65">
        <f>G98*623.6</f>
        <v>623.6</v>
      </c>
      <c r="J98" s="61">
        <v>3812.8</v>
      </c>
      <c r="K98" s="65">
        <f t="shared" si="2"/>
        <v>0.013629528605399356</v>
      </c>
    </row>
    <row r="99" spans="1:11" ht="12.75" customHeight="1">
      <c r="A99" s="72"/>
      <c r="B99" s="72"/>
      <c r="C99" s="72">
        <v>78</v>
      </c>
      <c r="D99" s="74" t="s">
        <v>410</v>
      </c>
      <c r="E99" s="77" t="s">
        <v>68</v>
      </c>
      <c r="F99" s="83" t="s">
        <v>338</v>
      </c>
      <c r="G99" s="61">
        <f>1+12</f>
        <v>13</v>
      </c>
      <c r="H99" s="61">
        <v>1</v>
      </c>
      <c r="I99" s="65">
        <f>G99*26.7912</f>
        <v>348.2856</v>
      </c>
      <c r="J99" s="61">
        <v>3812.8</v>
      </c>
      <c r="K99" s="65">
        <f t="shared" si="2"/>
        <v>0.007612201007133864</v>
      </c>
    </row>
    <row r="100" spans="1:11" ht="20.25" customHeight="1">
      <c r="A100" s="72"/>
      <c r="B100" s="72"/>
      <c r="C100" s="72">
        <v>79</v>
      </c>
      <c r="D100" s="74" t="s">
        <v>411</v>
      </c>
      <c r="E100" s="77" t="s">
        <v>68</v>
      </c>
      <c r="F100" s="83" t="s">
        <v>338</v>
      </c>
      <c r="G100" s="61">
        <f>5+3</f>
        <v>8</v>
      </c>
      <c r="H100" s="61">
        <v>1</v>
      </c>
      <c r="I100" s="65">
        <f>G100*48.34</f>
        <v>386.72</v>
      </c>
      <c r="J100" s="61">
        <v>3812.8</v>
      </c>
      <c r="K100" s="65">
        <f t="shared" si="2"/>
        <v>0.008452231081270108</v>
      </c>
    </row>
    <row r="101" spans="1:11" ht="24" hidden="1">
      <c r="A101" s="72"/>
      <c r="B101" s="72"/>
      <c r="C101" s="72">
        <v>80</v>
      </c>
      <c r="D101" s="74" t="s">
        <v>412</v>
      </c>
      <c r="E101" s="77" t="s">
        <v>123</v>
      </c>
      <c r="F101" s="75" t="s">
        <v>111</v>
      </c>
      <c r="G101" s="61"/>
      <c r="H101" s="61"/>
      <c r="I101" s="65"/>
      <c r="J101" s="61">
        <v>3812.8</v>
      </c>
      <c r="K101" s="65">
        <f t="shared" si="2"/>
        <v>0</v>
      </c>
    </row>
    <row r="102" spans="1:11" ht="24">
      <c r="A102" s="72"/>
      <c r="B102" s="72"/>
      <c r="C102" s="72">
        <v>81</v>
      </c>
      <c r="D102" s="74" t="s">
        <v>247</v>
      </c>
      <c r="E102" s="77" t="s">
        <v>68</v>
      </c>
      <c r="F102" s="75" t="s">
        <v>111</v>
      </c>
      <c r="G102" s="61">
        <f>72+70</f>
        <v>142</v>
      </c>
      <c r="H102" s="61">
        <v>12</v>
      </c>
      <c r="I102" s="65">
        <f>G102*H102*0.1349</f>
        <v>229.86960000000005</v>
      </c>
      <c r="J102" s="61">
        <v>3812.8</v>
      </c>
      <c r="K102" s="65">
        <f t="shared" si="2"/>
        <v>0.0050240767939571974</v>
      </c>
    </row>
    <row r="103" spans="1:11" ht="24">
      <c r="A103" s="72"/>
      <c r="B103" s="72"/>
      <c r="C103" s="72">
        <v>82</v>
      </c>
      <c r="D103" s="74" t="s">
        <v>413</v>
      </c>
      <c r="E103" s="77" t="s">
        <v>68</v>
      </c>
      <c r="F103" s="75" t="s">
        <v>111</v>
      </c>
      <c r="G103" s="61">
        <f>1+4+4+3+1+3+2+5</f>
        <v>23</v>
      </c>
      <c r="H103" s="61">
        <v>12</v>
      </c>
      <c r="I103" s="65">
        <f>G103*94.962</f>
        <v>2184.126</v>
      </c>
      <c r="J103" s="61">
        <v>3812.8</v>
      </c>
      <c r="K103" s="65">
        <f t="shared" si="2"/>
        <v>0.04773670268569031</v>
      </c>
    </row>
    <row r="104" spans="1:11" ht="27" customHeight="1">
      <c r="A104" s="72">
        <v>730</v>
      </c>
      <c r="B104" s="72" t="s">
        <v>109</v>
      </c>
      <c r="C104" s="72">
        <v>83</v>
      </c>
      <c r="D104" s="74" t="s">
        <v>110</v>
      </c>
      <c r="E104" s="74" t="s">
        <v>21</v>
      </c>
      <c r="F104" s="75" t="s">
        <v>111</v>
      </c>
      <c r="G104" s="61">
        <v>12</v>
      </c>
      <c r="H104" s="61">
        <v>12</v>
      </c>
      <c r="I104" s="65">
        <f>G104*39.63</f>
        <v>475.56000000000006</v>
      </c>
      <c r="J104" s="61">
        <v>3812.8</v>
      </c>
      <c r="K104" s="65">
        <f t="shared" si="2"/>
        <v>0.010393936214855225</v>
      </c>
    </row>
    <row r="105" spans="1:11" ht="12.75" customHeight="1" hidden="1">
      <c r="A105" s="72"/>
      <c r="B105" s="72"/>
      <c r="C105" s="72">
        <v>84</v>
      </c>
      <c r="D105" s="74" t="s">
        <v>414</v>
      </c>
      <c r="E105" s="74" t="s">
        <v>158</v>
      </c>
      <c r="F105" s="75" t="s">
        <v>111</v>
      </c>
      <c r="G105" s="61"/>
      <c r="H105" s="61"/>
      <c r="I105" s="65"/>
      <c r="J105" s="61">
        <v>3812.8</v>
      </c>
      <c r="K105" s="65">
        <f t="shared" si="2"/>
        <v>0</v>
      </c>
    </row>
    <row r="106" spans="1:11" ht="21.75" customHeight="1">
      <c r="A106" s="72"/>
      <c r="B106" s="72"/>
      <c r="C106" s="72">
        <v>85</v>
      </c>
      <c r="D106" s="74" t="s">
        <v>415</v>
      </c>
      <c r="E106" s="74" t="s">
        <v>158</v>
      </c>
      <c r="F106" s="75" t="s">
        <v>364</v>
      </c>
      <c r="G106" s="61">
        <f>50+50+15</f>
        <v>115</v>
      </c>
      <c r="H106" s="61">
        <v>1</v>
      </c>
      <c r="I106" s="65">
        <f>G106*107.06</f>
        <v>12311.9</v>
      </c>
      <c r="J106" s="61">
        <v>3812.8</v>
      </c>
      <c r="K106" s="65">
        <f t="shared" si="2"/>
        <v>0.26909139390124487</v>
      </c>
    </row>
    <row r="107" spans="1:11" ht="20.25" customHeight="1">
      <c r="A107" s="72"/>
      <c r="B107" s="72"/>
      <c r="C107" s="72">
        <v>86</v>
      </c>
      <c r="D107" s="74" t="s">
        <v>416</v>
      </c>
      <c r="E107" s="74" t="s">
        <v>158</v>
      </c>
      <c r="F107" s="75" t="s">
        <v>338</v>
      </c>
      <c r="G107" s="61">
        <v>20</v>
      </c>
      <c r="H107" s="61">
        <v>1</v>
      </c>
      <c r="I107" s="65">
        <f>G107*179.12</f>
        <v>3582.4</v>
      </c>
      <c r="J107" s="61">
        <v>3812.8</v>
      </c>
      <c r="K107" s="65">
        <f t="shared" si="2"/>
        <v>0.0782976640089523</v>
      </c>
    </row>
    <row r="108" spans="1:11" ht="22.5" customHeight="1">
      <c r="A108" s="72"/>
      <c r="B108" s="72"/>
      <c r="C108" s="72">
        <v>87</v>
      </c>
      <c r="D108" s="74" t="s">
        <v>417</v>
      </c>
      <c r="E108" s="74" t="s">
        <v>158</v>
      </c>
      <c r="F108" s="75" t="s">
        <v>338</v>
      </c>
      <c r="G108" s="61">
        <v>6</v>
      </c>
      <c r="H108" s="61">
        <v>1</v>
      </c>
      <c r="I108" s="65">
        <f>G108*649.65</f>
        <v>3897.8999999999996</v>
      </c>
      <c r="J108" s="61">
        <v>3812.8</v>
      </c>
      <c r="K108" s="65">
        <f t="shared" si="2"/>
        <v>0.08519329626521191</v>
      </c>
    </row>
    <row r="109" spans="1:11" ht="36" customHeight="1">
      <c r="A109" s="72"/>
      <c r="B109" s="72"/>
      <c r="C109" s="72">
        <v>88</v>
      </c>
      <c r="D109" s="74" t="s">
        <v>418</v>
      </c>
      <c r="E109" s="77" t="s">
        <v>362</v>
      </c>
      <c r="F109" s="75" t="s">
        <v>111</v>
      </c>
      <c r="G109" s="61">
        <f>2+2+3</f>
        <v>7</v>
      </c>
      <c r="H109" s="61">
        <v>1</v>
      </c>
      <c r="I109" s="65">
        <f>G109*415.11</f>
        <v>2905.77</v>
      </c>
      <c r="J109" s="61">
        <v>3812.8</v>
      </c>
      <c r="K109" s="65">
        <f t="shared" si="2"/>
        <v>0.06350910092320604</v>
      </c>
    </row>
    <row r="110" spans="1:11" ht="15.75" customHeight="1">
      <c r="A110" s="142" t="s">
        <v>112</v>
      </c>
      <c r="B110" s="142"/>
      <c r="C110" s="142" t="s">
        <v>113</v>
      </c>
      <c r="D110" s="142"/>
      <c r="E110" s="142"/>
      <c r="F110" s="142"/>
      <c r="G110" s="142"/>
      <c r="H110" s="142"/>
      <c r="I110" s="91"/>
      <c r="J110" s="61">
        <v>3812.8</v>
      </c>
      <c r="K110" s="65">
        <f t="shared" si="2"/>
        <v>0</v>
      </c>
    </row>
    <row r="111" spans="1:11" ht="36">
      <c r="A111" s="69"/>
      <c r="B111" s="78"/>
      <c r="C111" s="61">
        <v>89</v>
      </c>
      <c r="D111" s="77" t="s">
        <v>419</v>
      </c>
      <c r="E111" s="77" t="s">
        <v>116</v>
      </c>
      <c r="F111" s="61" t="s">
        <v>142</v>
      </c>
      <c r="G111" s="92">
        <v>5.0676</v>
      </c>
      <c r="H111" s="93">
        <v>4</v>
      </c>
      <c r="I111" s="65">
        <f>G111*H111*0.073*1000</f>
        <v>1479.7391999999998</v>
      </c>
      <c r="J111" s="61">
        <v>3812.8</v>
      </c>
      <c r="K111" s="65">
        <f t="shared" si="2"/>
        <v>0.03234148132605958</v>
      </c>
    </row>
    <row r="112" spans="1:11" ht="29.25" customHeight="1">
      <c r="A112" s="72">
        <v>90</v>
      </c>
      <c r="B112" s="72" t="s">
        <v>114</v>
      </c>
      <c r="C112" s="72">
        <v>90</v>
      </c>
      <c r="D112" s="74" t="s">
        <v>115</v>
      </c>
      <c r="E112" s="74" t="s">
        <v>116</v>
      </c>
      <c r="F112" s="75" t="s">
        <v>117</v>
      </c>
      <c r="G112" s="61">
        <v>0.72</v>
      </c>
      <c r="H112" s="61">
        <v>5</v>
      </c>
      <c r="I112" s="65">
        <f>G112*27.8*100</f>
        <v>2001.6</v>
      </c>
      <c r="J112" s="61">
        <v>3812.8</v>
      </c>
      <c r="K112" s="65">
        <f t="shared" si="2"/>
        <v>0.04374737725556021</v>
      </c>
    </row>
    <row r="113" spans="1:11" ht="29.25" customHeight="1">
      <c r="A113" s="72"/>
      <c r="B113" s="72"/>
      <c r="C113" s="61">
        <v>91</v>
      </c>
      <c r="D113" s="74" t="s">
        <v>420</v>
      </c>
      <c r="E113" s="74" t="s">
        <v>116</v>
      </c>
      <c r="F113" s="75" t="s">
        <v>421</v>
      </c>
      <c r="G113" s="61">
        <v>5.04</v>
      </c>
      <c r="H113" s="61">
        <v>5</v>
      </c>
      <c r="I113" s="65">
        <f>G113*0.221*1000</f>
        <v>1113.84</v>
      </c>
      <c r="J113" s="61">
        <v>3812.8</v>
      </c>
      <c r="K113" s="65">
        <f t="shared" si="2"/>
        <v>0.02434431389005455</v>
      </c>
    </row>
    <row r="114" spans="1:11" ht="18.75" customHeight="1">
      <c r="A114" s="72">
        <v>92</v>
      </c>
      <c r="B114" s="72" t="s">
        <v>118</v>
      </c>
      <c r="C114" s="72">
        <v>92</v>
      </c>
      <c r="D114" s="74" t="s">
        <v>119</v>
      </c>
      <c r="E114" s="74" t="s">
        <v>116</v>
      </c>
      <c r="F114" s="75" t="s">
        <v>120</v>
      </c>
      <c r="G114" s="61">
        <v>2</v>
      </c>
      <c r="H114" s="61">
        <v>4</v>
      </c>
      <c r="I114" s="65">
        <f>G114*H114*39.573</f>
        <v>316.584</v>
      </c>
      <c r="J114" s="61">
        <v>3812.8</v>
      </c>
      <c r="K114" s="65">
        <f t="shared" si="2"/>
        <v>0.006919324381032313</v>
      </c>
    </row>
    <row r="115" spans="1:11" ht="21" customHeight="1">
      <c r="A115" s="72"/>
      <c r="B115" s="72"/>
      <c r="C115" s="61">
        <v>93</v>
      </c>
      <c r="D115" s="74" t="s">
        <v>422</v>
      </c>
      <c r="E115" s="74" t="s">
        <v>123</v>
      </c>
      <c r="F115" s="75" t="s">
        <v>136</v>
      </c>
      <c r="G115" s="61">
        <v>2914</v>
      </c>
      <c r="H115" s="61">
        <v>1</v>
      </c>
      <c r="I115" s="65">
        <f>G115*H115</f>
        <v>2914</v>
      </c>
      <c r="J115" s="61">
        <v>3812.8</v>
      </c>
      <c r="K115" s="65">
        <f t="shared" si="2"/>
        <v>0.06368897747936775</v>
      </c>
    </row>
    <row r="116" spans="3:11" s="94" customFormat="1" ht="21" customHeight="1">
      <c r="C116" s="95">
        <v>94</v>
      </c>
      <c r="D116" s="95" t="s">
        <v>423</v>
      </c>
      <c r="E116" s="95" t="s">
        <v>123</v>
      </c>
      <c r="F116" s="96" t="s">
        <v>338</v>
      </c>
      <c r="G116" s="96">
        <v>87</v>
      </c>
      <c r="H116" s="96">
        <v>12</v>
      </c>
      <c r="I116" s="97">
        <f>0.5728*H116*G116</f>
        <v>598.0032</v>
      </c>
      <c r="J116" s="61">
        <v>3812.8</v>
      </c>
      <c r="K116" s="65">
        <f t="shared" si="2"/>
        <v>0.013070079731430968</v>
      </c>
    </row>
    <row r="117" spans="1:11" ht="28.5" customHeight="1">
      <c r="A117" s="72"/>
      <c r="B117" s="72"/>
      <c r="C117" s="72">
        <v>95</v>
      </c>
      <c r="D117" s="74" t="s">
        <v>424</v>
      </c>
      <c r="E117" s="74" t="s">
        <v>425</v>
      </c>
      <c r="F117" s="75" t="s">
        <v>142</v>
      </c>
      <c r="G117" s="65">
        <v>0.381</v>
      </c>
      <c r="H117" s="58">
        <v>1</v>
      </c>
      <c r="I117" s="65">
        <f>G117*H117*4.46*1000</f>
        <v>1699.26</v>
      </c>
      <c r="J117" s="61">
        <v>3812.8</v>
      </c>
      <c r="K117" s="65">
        <f t="shared" si="2"/>
        <v>0.03713937263953</v>
      </c>
    </row>
    <row r="118" spans="1:11" ht="15.75" customHeight="1">
      <c r="A118" s="142" t="s">
        <v>126</v>
      </c>
      <c r="B118" s="142"/>
      <c r="C118" s="142" t="s">
        <v>127</v>
      </c>
      <c r="D118" s="142"/>
      <c r="E118" s="142"/>
      <c r="F118" s="142"/>
      <c r="G118" s="142"/>
      <c r="H118" s="142"/>
      <c r="I118" s="91"/>
      <c r="J118" s="61"/>
      <c r="K118" s="65"/>
    </row>
    <row r="119" spans="1:11" ht="12.75" customHeight="1" hidden="1">
      <c r="A119" s="72"/>
      <c r="B119" s="72"/>
      <c r="C119" s="72">
        <v>96</v>
      </c>
      <c r="D119" s="74" t="s">
        <v>426</v>
      </c>
      <c r="E119" s="74" t="s">
        <v>130</v>
      </c>
      <c r="F119" s="75" t="s">
        <v>52</v>
      </c>
      <c r="G119" s="98"/>
      <c r="H119" s="61">
        <v>144</v>
      </c>
      <c r="I119" s="65">
        <f>G119*H119*0.5</f>
        <v>0</v>
      </c>
      <c r="J119" s="61">
        <v>3812.8</v>
      </c>
      <c r="K119" s="65">
        <f>I119/12/3812.8</f>
        <v>0</v>
      </c>
    </row>
    <row r="120" spans="1:11" ht="12.75" customHeight="1" hidden="1">
      <c r="A120" s="72"/>
      <c r="B120" s="72"/>
      <c r="C120" s="72">
        <v>97</v>
      </c>
      <c r="D120" s="74" t="s">
        <v>427</v>
      </c>
      <c r="E120" s="74" t="s">
        <v>130</v>
      </c>
      <c r="F120" s="75" t="s">
        <v>52</v>
      </c>
      <c r="G120" s="98"/>
      <c r="H120" s="61">
        <v>144</v>
      </c>
      <c r="I120" s="65">
        <f>G120*H120*14</f>
        <v>0</v>
      </c>
      <c r="J120" s="61">
        <v>3812.8</v>
      </c>
      <c r="K120" s="65">
        <f>I120/12/3812.8</f>
        <v>0</v>
      </c>
    </row>
    <row r="121" spans="1:11" ht="12.75" customHeight="1" hidden="1">
      <c r="A121" s="72"/>
      <c r="B121" s="72"/>
      <c r="C121" s="72">
        <v>98</v>
      </c>
      <c r="D121" s="74" t="s">
        <v>428</v>
      </c>
      <c r="E121" s="74" t="s">
        <v>130</v>
      </c>
      <c r="F121" s="75" t="s">
        <v>136</v>
      </c>
      <c r="G121" s="61"/>
      <c r="H121" s="61">
        <v>75</v>
      </c>
      <c r="I121" s="65">
        <f>G121*H121*1.41</f>
        <v>0</v>
      </c>
      <c r="J121" s="61">
        <v>3812.8</v>
      </c>
      <c r="K121" s="65">
        <f>I121/12/3812.8</f>
        <v>0</v>
      </c>
    </row>
    <row r="122" spans="1:11" ht="12.75" customHeight="1" hidden="1">
      <c r="A122" s="72"/>
      <c r="B122" s="72"/>
      <c r="C122" s="72">
        <v>99</v>
      </c>
      <c r="D122" s="74" t="s">
        <v>429</v>
      </c>
      <c r="E122" s="74" t="s">
        <v>130</v>
      </c>
      <c r="F122" s="75" t="s">
        <v>364</v>
      </c>
      <c r="G122" s="61"/>
      <c r="H122" s="61">
        <v>12</v>
      </c>
      <c r="I122" s="85">
        <f>G122*H122*0.1683</f>
        <v>0</v>
      </c>
      <c r="J122" s="61">
        <v>3812.8</v>
      </c>
      <c r="K122" s="65">
        <f>I122/12/3812.8</f>
        <v>0</v>
      </c>
    </row>
    <row r="123" spans="1:11" ht="12.75" customHeight="1" hidden="1">
      <c r="A123" s="72"/>
      <c r="B123" s="72"/>
      <c r="C123" s="72">
        <v>100</v>
      </c>
      <c r="D123" s="74" t="s">
        <v>430</v>
      </c>
      <c r="E123" s="74" t="s">
        <v>130</v>
      </c>
      <c r="F123" s="75" t="s">
        <v>338</v>
      </c>
      <c r="G123" s="61"/>
      <c r="H123" s="61">
        <v>12</v>
      </c>
      <c r="I123" s="65">
        <f>G123*H123*1.125</f>
        <v>0</v>
      </c>
      <c r="J123" s="61">
        <v>3812.8</v>
      </c>
      <c r="K123" s="65">
        <f>I123/12/3812.8</f>
        <v>0</v>
      </c>
    </row>
    <row r="124" spans="1:11" ht="15.75" customHeight="1">
      <c r="A124" s="142" t="s">
        <v>137</v>
      </c>
      <c r="B124" s="142"/>
      <c r="C124" s="142" t="s">
        <v>138</v>
      </c>
      <c r="D124" s="142"/>
      <c r="E124" s="142"/>
      <c r="F124" s="142"/>
      <c r="G124" s="142"/>
      <c r="H124" s="142"/>
      <c r="I124" s="91"/>
      <c r="J124" s="61"/>
      <c r="K124" s="65"/>
    </row>
    <row r="125" spans="1:11" ht="29.25" customHeight="1">
      <c r="A125" s="72">
        <v>112</v>
      </c>
      <c r="B125" s="72" t="s">
        <v>139</v>
      </c>
      <c r="C125" s="72">
        <v>101</v>
      </c>
      <c r="D125" s="77" t="s">
        <v>140</v>
      </c>
      <c r="E125" s="77" t="s">
        <v>141</v>
      </c>
      <c r="F125" s="75" t="s">
        <v>142</v>
      </c>
      <c r="G125" s="61">
        <v>5.109</v>
      </c>
      <c r="H125" s="99">
        <v>144</v>
      </c>
      <c r="I125" s="65">
        <f>G125*H125*0.8</f>
        <v>588.5568000000001</v>
      </c>
      <c r="J125" s="61">
        <v>3812.8</v>
      </c>
      <c r="K125" s="65">
        <f aca="true" t="shared" si="3" ref="K125:K134">I125/12/3812.8</f>
        <v>0.012863617289131348</v>
      </c>
    </row>
    <row r="126" spans="1:11" ht="21.75" customHeight="1">
      <c r="A126" s="72">
        <v>114</v>
      </c>
      <c r="B126" s="72" t="s">
        <v>143</v>
      </c>
      <c r="C126" s="72">
        <v>102</v>
      </c>
      <c r="D126" s="74" t="s">
        <v>144</v>
      </c>
      <c r="E126" s="74" t="s">
        <v>141</v>
      </c>
      <c r="F126" s="75" t="s">
        <v>142</v>
      </c>
      <c r="G126" s="61"/>
      <c r="H126" s="61">
        <v>48</v>
      </c>
      <c r="I126" s="65">
        <f>G126*H126*2.11*1000</f>
        <v>0</v>
      </c>
      <c r="J126" s="61">
        <v>3812.8</v>
      </c>
      <c r="K126" s="65">
        <f t="shared" si="3"/>
        <v>0</v>
      </c>
    </row>
    <row r="127" spans="1:11" ht="18.75" customHeight="1">
      <c r="A127" s="72">
        <v>121</v>
      </c>
      <c r="B127" s="72" t="s">
        <v>145</v>
      </c>
      <c r="C127" s="72">
        <v>103</v>
      </c>
      <c r="D127" s="100" t="s">
        <v>146</v>
      </c>
      <c r="E127" s="74" t="s">
        <v>130</v>
      </c>
      <c r="F127" s="75" t="s">
        <v>142</v>
      </c>
      <c r="G127" s="101">
        <v>82.225</v>
      </c>
      <c r="H127" s="61">
        <v>144</v>
      </c>
      <c r="I127" s="65">
        <f>G127*H127*0.08</f>
        <v>947.232</v>
      </c>
      <c r="J127" s="61">
        <v>3812.8</v>
      </c>
      <c r="K127" s="65">
        <f t="shared" si="3"/>
        <v>0.020702895509861517</v>
      </c>
    </row>
    <row r="128" spans="1:11" ht="26.25" customHeight="1">
      <c r="A128" s="72">
        <v>122</v>
      </c>
      <c r="B128" s="72" t="s">
        <v>147</v>
      </c>
      <c r="C128" s="72">
        <v>104</v>
      </c>
      <c r="D128" s="74" t="s">
        <v>148</v>
      </c>
      <c r="E128" s="74" t="s">
        <v>431</v>
      </c>
      <c r="F128" s="75" t="s">
        <v>142</v>
      </c>
      <c r="G128" s="61">
        <v>6.325</v>
      </c>
      <c r="H128" s="61">
        <v>2</v>
      </c>
      <c r="I128" s="65">
        <f>G128*H128*94</f>
        <v>1189.1000000000001</v>
      </c>
      <c r="J128" s="61">
        <v>3812.8</v>
      </c>
      <c r="K128" s="65">
        <f t="shared" si="3"/>
        <v>0.025989211777871033</v>
      </c>
    </row>
    <row r="129" spans="1:11" ht="12">
      <c r="A129" s="72"/>
      <c r="B129" s="72"/>
      <c r="C129" s="72">
        <v>105</v>
      </c>
      <c r="D129" s="74" t="s">
        <v>279</v>
      </c>
      <c r="E129" s="74" t="s">
        <v>432</v>
      </c>
      <c r="F129" s="75" t="s">
        <v>136</v>
      </c>
      <c r="G129" s="61">
        <v>150</v>
      </c>
      <c r="H129" s="61">
        <v>96</v>
      </c>
      <c r="I129" s="65">
        <f>G129*H129*0.14</f>
        <v>2016.0000000000002</v>
      </c>
      <c r="J129" s="61">
        <v>3812.8</v>
      </c>
      <c r="K129" s="65">
        <f t="shared" si="3"/>
        <v>0.04406210658833404</v>
      </c>
    </row>
    <row r="130" spans="1:11" ht="12">
      <c r="A130" s="72"/>
      <c r="B130" s="72"/>
      <c r="C130" s="72">
        <v>106</v>
      </c>
      <c r="D130" s="74" t="s">
        <v>283</v>
      </c>
      <c r="E130" s="74" t="s">
        <v>123</v>
      </c>
      <c r="F130" s="75" t="s">
        <v>142</v>
      </c>
      <c r="G130" s="61">
        <v>4.3</v>
      </c>
      <c r="H130" s="61">
        <v>2</v>
      </c>
      <c r="I130" s="65">
        <f>G130*H130*87</f>
        <v>748.1999999999999</v>
      </c>
      <c r="J130" s="61">
        <v>3812.8</v>
      </c>
      <c r="K130" s="65">
        <f t="shared" si="3"/>
        <v>0.016352811582039443</v>
      </c>
    </row>
    <row r="131" spans="1:11" ht="24">
      <c r="A131" s="72"/>
      <c r="B131" s="72"/>
      <c r="C131" s="72">
        <v>107</v>
      </c>
      <c r="D131" s="74" t="s">
        <v>285</v>
      </c>
      <c r="E131" s="78" t="s">
        <v>123</v>
      </c>
      <c r="F131" s="102" t="s">
        <v>142</v>
      </c>
      <c r="G131" s="61">
        <v>4.3</v>
      </c>
      <c r="H131" s="61">
        <v>2</v>
      </c>
      <c r="I131" s="65">
        <f>G131*H131*34.2</f>
        <v>294.12</v>
      </c>
      <c r="J131" s="61">
        <v>3812.8</v>
      </c>
      <c r="K131" s="65">
        <f t="shared" si="3"/>
        <v>0.006428346621905162</v>
      </c>
    </row>
    <row r="132" spans="1:11" ht="24">
      <c r="A132" s="72"/>
      <c r="B132" s="72"/>
      <c r="C132" s="72">
        <v>108</v>
      </c>
      <c r="D132" s="74" t="s">
        <v>433</v>
      </c>
      <c r="E132" s="78" t="s">
        <v>68</v>
      </c>
      <c r="F132" s="102" t="s">
        <v>288</v>
      </c>
      <c r="G132" s="61">
        <v>8</v>
      </c>
      <c r="H132" s="61">
        <v>2</v>
      </c>
      <c r="I132" s="65">
        <f>G132*H132*84.168</f>
        <v>1346.688</v>
      </c>
      <c r="J132" s="61">
        <v>3812.8</v>
      </c>
      <c r="K132" s="65">
        <f t="shared" si="3"/>
        <v>0.029433487201007132</v>
      </c>
    </row>
    <row r="133" spans="1:11" ht="12">
      <c r="A133" s="72"/>
      <c r="B133" s="72"/>
      <c r="C133" s="72">
        <v>109</v>
      </c>
      <c r="D133" s="74" t="s">
        <v>434</v>
      </c>
      <c r="E133" s="78" t="s">
        <v>16</v>
      </c>
      <c r="F133" s="102" t="s">
        <v>142</v>
      </c>
      <c r="G133" s="61"/>
      <c r="H133" s="61">
        <v>216</v>
      </c>
      <c r="I133" s="65">
        <f>G133*H133*0.256*1000</f>
        <v>0</v>
      </c>
      <c r="J133" s="61">
        <v>3812.8</v>
      </c>
      <c r="K133" s="65">
        <f t="shared" si="3"/>
        <v>0</v>
      </c>
    </row>
    <row r="134" spans="1:11" ht="24">
      <c r="A134" s="103"/>
      <c r="B134" s="104"/>
      <c r="C134" s="72">
        <v>110</v>
      </c>
      <c r="D134" s="105" t="s">
        <v>435</v>
      </c>
      <c r="E134" s="105" t="s">
        <v>141</v>
      </c>
      <c r="F134" s="104" t="s">
        <v>142</v>
      </c>
      <c r="G134" s="61">
        <v>0.728</v>
      </c>
      <c r="H134" s="61">
        <v>5</v>
      </c>
      <c r="I134" s="65">
        <f>G134*H134*1000*0.7</f>
        <v>2548</v>
      </c>
      <c r="J134" s="61">
        <v>3812.8</v>
      </c>
      <c r="K134" s="65">
        <f t="shared" si="3"/>
        <v>0.05568960693803329</v>
      </c>
    </row>
    <row r="135" spans="1:11" ht="15.75" customHeight="1">
      <c r="A135" s="142" t="s">
        <v>150</v>
      </c>
      <c r="B135" s="142"/>
      <c r="C135" s="142" t="s">
        <v>151</v>
      </c>
      <c r="D135" s="142"/>
      <c r="E135" s="142"/>
      <c r="F135" s="142"/>
      <c r="G135" s="142"/>
      <c r="H135" s="142"/>
      <c r="I135" s="91"/>
      <c r="J135" s="61"/>
      <c r="K135" s="65"/>
    </row>
    <row r="136" spans="1:11" ht="31.5" customHeight="1">
      <c r="A136" s="72">
        <v>125</v>
      </c>
      <c r="B136" s="72" t="s">
        <v>152</v>
      </c>
      <c r="C136" s="72">
        <v>111</v>
      </c>
      <c r="D136" s="77" t="s">
        <v>436</v>
      </c>
      <c r="E136" s="77" t="s">
        <v>437</v>
      </c>
      <c r="F136" s="75" t="s">
        <v>142</v>
      </c>
      <c r="G136" s="61">
        <v>3.93</v>
      </c>
      <c r="H136" s="61">
        <v>32</v>
      </c>
      <c r="I136" s="65">
        <f>G136*H136*0.008*1000</f>
        <v>1006.08</v>
      </c>
      <c r="J136" s="61">
        <v>3812.8</v>
      </c>
      <c r="K136" s="65">
        <f aca="true" t="shared" si="4" ref="K136:K141">I136/12/3812.8</f>
        <v>0.021989089383130506</v>
      </c>
    </row>
    <row r="137" spans="1:11" ht="24.75" customHeight="1">
      <c r="A137" s="72">
        <v>132</v>
      </c>
      <c r="B137" s="72" t="s">
        <v>154</v>
      </c>
      <c r="C137" s="72">
        <v>112</v>
      </c>
      <c r="D137" s="77" t="s">
        <v>438</v>
      </c>
      <c r="E137" s="77" t="s">
        <v>437</v>
      </c>
      <c r="F137" s="75" t="s">
        <v>142</v>
      </c>
      <c r="G137" s="65">
        <v>3.144</v>
      </c>
      <c r="H137" s="58">
        <v>32</v>
      </c>
      <c r="I137" s="65">
        <f>G137*H137*0.014*1000</f>
        <v>1408.512</v>
      </c>
      <c r="J137" s="61">
        <v>3812.8</v>
      </c>
      <c r="K137" s="65">
        <f t="shared" si="4"/>
        <v>0.030784725136382706</v>
      </c>
    </row>
    <row r="138" spans="1:11" ht="36">
      <c r="A138" s="103"/>
      <c r="B138" s="104" t="s">
        <v>156</v>
      </c>
      <c r="C138" s="72">
        <v>113</v>
      </c>
      <c r="D138" s="105" t="s">
        <v>290</v>
      </c>
      <c r="E138" s="105" t="s">
        <v>439</v>
      </c>
      <c r="F138" s="104" t="s">
        <v>142</v>
      </c>
      <c r="G138" s="65">
        <v>0.526</v>
      </c>
      <c r="H138" s="58">
        <v>24</v>
      </c>
      <c r="I138" s="65">
        <f>G138*H138*0.159*1000</f>
        <v>2007.2160000000001</v>
      </c>
      <c r="J138" s="61">
        <v>3812.8</v>
      </c>
      <c r="K138" s="65">
        <f t="shared" si="4"/>
        <v>0.043870121695342004</v>
      </c>
    </row>
    <row r="139" spans="1:11" ht="24">
      <c r="A139" s="103"/>
      <c r="B139" s="104"/>
      <c r="C139" s="72">
        <v>114</v>
      </c>
      <c r="D139" s="105" t="s">
        <v>440</v>
      </c>
      <c r="E139" s="105" t="s">
        <v>68</v>
      </c>
      <c r="F139" s="104" t="s">
        <v>142</v>
      </c>
      <c r="G139" s="104">
        <v>0.28</v>
      </c>
      <c r="H139" s="104">
        <v>10</v>
      </c>
      <c r="I139" s="106">
        <f>G139*H139*1000*0.175</f>
        <v>490.0000000000001</v>
      </c>
      <c r="J139" s="61">
        <v>3812.8</v>
      </c>
      <c r="K139" s="65">
        <f t="shared" si="4"/>
        <v>0.010709539795775635</v>
      </c>
    </row>
    <row r="140" spans="1:11" ht="12.75" customHeight="1" hidden="1">
      <c r="A140" s="103"/>
      <c r="B140" s="104"/>
      <c r="C140" s="72">
        <v>115</v>
      </c>
      <c r="D140" s="74" t="s">
        <v>441</v>
      </c>
      <c r="E140" s="78" t="s">
        <v>16</v>
      </c>
      <c r="F140" s="102" t="s">
        <v>142</v>
      </c>
      <c r="G140" s="61"/>
      <c r="H140" s="61">
        <v>240</v>
      </c>
      <c r="I140" s="65">
        <f>G140*H140*0.45*1000</f>
        <v>0</v>
      </c>
      <c r="J140" s="61">
        <v>3812.8</v>
      </c>
      <c r="K140" s="65">
        <f t="shared" si="4"/>
        <v>0</v>
      </c>
    </row>
    <row r="141" spans="1:11" ht="24">
      <c r="A141" s="103"/>
      <c r="B141" s="104"/>
      <c r="C141" s="72">
        <v>116</v>
      </c>
      <c r="D141" s="105" t="s">
        <v>442</v>
      </c>
      <c r="E141" s="105" t="s">
        <v>437</v>
      </c>
      <c r="F141" s="104" t="s">
        <v>142</v>
      </c>
      <c r="G141" s="61">
        <v>0.727</v>
      </c>
      <c r="H141" s="61">
        <v>18</v>
      </c>
      <c r="I141" s="65">
        <f>G141*H141*0.86*1000</f>
        <v>11253.96</v>
      </c>
      <c r="J141" s="61">
        <v>3812.8</v>
      </c>
      <c r="K141" s="65">
        <f t="shared" si="4"/>
        <v>0.24596884179605535</v>
      </c>
    </row>
    <row r="142" spans="1:11" ht="15.75" customHeight="1">
      <c r="A142" s="78"/>
      <c r="B142" s="61"/>
      <c r="C142" s="145" t="s">
        <v>297</v>
      </c>
      <c r="D142" s="145"/>
      <c r="E142" s="145"/>
      <c r="F142" s="145"/>
      <c r="G142" s="145"/>
      <c r="H142" s="145"/>
      <c r="I142" s="91"/>
      <c r="J142" s="61"/>
      <c r="K142" s="65"/>
    </row>
    <row r="143" spans="1:11" ht="12" hidden="1">
      <c r="A143" s="78"/>
      <c r="B143" s="61"/>
      <c r="C143" s="72">
        <v>117</v>
      </c>
      <c r="D143" s="107" t="s">
        <v>281</v>
      </c>
      <c r="E143" s="66" t="s">
        <v>123</v>
      </c>
      <c r="F143" s="61" t="s">
        <v>52</v>
      </c>
      <c r="G143" s="98"/>
      <c r="H143" s="98">
        <v>2</v>
      </c>
      <c r="I143" s="65">
        <f>G143*H143*1.072*100</f>
        <v>0</v>
      </c>
      <c r="J143" s="61">
        <v>3812.8</v>
      </c>
      <c r="K143" s="65">
        <f aca="true" t="shared" si="5" ref="K143:K149">I143/12/3812.8</f>
        <v>0</v>
      </c>
    </row>
    <row r="144" spans="1:11" ht="24" hidden="1">
      <c r="A144" s="78"/>
      <c r="B144" s="61"/>
      <c r="C144" s="72">
        <v>118</v>
      </c>
      <c r="D144" s="66" t="s">
        <v>443</v>
      </c>
      <c r="E144" s="66" t="s">
        <v>444</v>
      </c>
      <c r="F144" s="61" t="s">
        <v>288</v>
      </c>
      <c r="G144" s="58"/>
      <c r="H144" s="58">
        <v>18</v>
      </c>
      <c r="I144" s="65">
        <f>G144*H144*372.36</f>
        <v>0</v>
      </c>
      <c r="J144" s="61">
        <v>3812.8</v>
      </c>
      <c r="K144" s="65">
        <f t="shared" si="5"/>
        <v>0</v>
      </c>
    </row>
    <row r="145" spans="1:11" ht="12.75" customHeight="1" hidden="1">
      <c r="A145" s="78"/>
      <c r="B145" s="61"/>
      <c r="C145" s="72">
        <v>119</v>
      </c>
      <c r="D145" s="66" t="s">
        <v>445</v>
      </c>
      <c r="E145" s="66" t="s">
        <v>444</v>
      </c>
      <c r="F145" s="61" t="s">
        <v>111</v>
      </c>
      <c r="G145" s="58"/>
      <c r="H145" s="58"/>
      <c r="I145" s="65">
        <f>G145*164.84</f>
        <v>0</v>
      </c>
      <c r="J145" s="61">
        <v>3812.8</v>
      </c>
      <c r="K145" s="65">
        <f t="shared" si="5"/>
        <v>0</v>
      </c>
    </row>
    <row r="146" spans="1:11" ht="12.75" customHeight="1" hidden="1">
      <c r="A146" s="78"/>
      <c r="B146" s="61"/>
      <c r="C146" s="72">
        <v>120</v>
      </c>
      <c r="D146" s="66" t="s">
        <v>446</v>
      </c>
      <c r="E146" s="66" t="s">
        <v>444</v>
      </c>
      <c r="F146" s="61" t="s">
        <v>111</v>
      </c>
      <c r="G146" s="98"/>
      <c r="H146" s="58">
        <v>1</v>
      </c>
      <c r="I146" s="65">
        <f>G146*19.39</f>
        <v>0</v>
      </c>
      <c r="J146" s="61">
        <v>3812.8</v>
      </c>
      <c r="K146" s="65">
        <f t="shared" si="5"/>
        <v>0</v>
      </c>
    </row>
    <row r="147" spans="1:11" ht="12.75" customHeight="1" hidden="1">
      <c r="A147" s="78"/>
      <c r="B147" s="61"/>
      <c r="C147" s="72">
        <v>121</v>
      </c>
      <c r="D147" s="77" t="s">
        <v>447</v>
      </c>
      <c r="E147" s="77" t="s">
        <v>68</v>
      </c>
      <c r="F147" s="83" t="s">
        <v>338</v>
      </c>
      <c r="G147" s="83"/>
      <c r="H147" s="83" t="s">
        <v>448</v>
      </c>
      <c r="I147" s="108">
        <f>G147*505.64</f>
        <v>0</v>
      </c>
      <c r="J147" s="61">
        <v>3812.8</v>
      </c>
      <c r="K147" s="65">
        <f t="shared" si="5"/>
        <v>0</v>
      </c>
    </row>
    <row r="148" spans="1:11" ht="12.75" customHeight="1" hidden="1">
      <c r="A148" s="78"/>
      <c r="B148" s="61"/>
      <c r="C148" s="72">
        <v>122</v>
      </c>
      <c r="D148" s="66" t="s">
        <v>449</v>
      </c>
      <c r="E148" s="66" t="s">
        <v>444</v>
      </c>
      <c r="F148" s="61" t="s">
        <v>288</v>
      </c>
      <c r="G148" s="98">
        <v>3</v>
      </c>
      <c r="H148" s="58">
        <v>1</v>
      </c>
      <c r="I148" s="65">
        <f>G148*472</f>
        <v>1416</v>
      </c>
      <c r="J148" s="61">
        <v>3812.8</v>
      </c>
      <c r="K148" s="65">
        <f t="shared" si="5"/>
        <v>0.030948384389425092</v>
      </c>
    </row>
    <row r="149" spans="1:11" ht="24.75" customHeight="1">
      <c r="A149" s="78"/>
      <c r="B149" s="61"/>
      <c r="C149" s="72">
        <v>123</v>
      </c>
      <c r="D149" s="66" t="s">
        <v>450</v>
      </c>
      <c r="E149" s="66" t="s">
        <v>444</v>
      </c>
      <c r="F149" s="61" t="s">
        <v>451</v>
      </c>
      <c r="G149" s="98">
        <v>1.1</v>
      </c>
      <c r="H149" s="58">
        <v>1</v>
      </c>
      <c r="I149" s="65">
        <f>G149*85000.39</f>
        <v>93500.429</v>
      </c>
      <c r="J149" s="61">
        <v>3812.8</v>
      </c>
      <c r="K149" s="65">
        <f t="shared" si="5"/>
        <v>2.0435644189746816</v>
      </c>
    </row>
    <row r="150" spans="1:11" s="112" customFormat="1" ht="13.5" customHeight="1">
      <c r="A150" s="109"/>
      <c r="B150" s="146" t="s">
        <v>452</v>
      </c>
      <c r="C150" s="146"/>
      <c r="D150" s="146"/>
      <c r="E150" s="66"/>
      <c r="F150" s="61"/>
      <c r="G150" s="110"/>
      <c r="H150" s="110"/>
      <c r="I150" s="65">
        <f>SUM(I6:I146)</f>
        <v>572322.5876999997</v>
      </c>
      <c r="J150" s="58"/>
      <c r="K150" s="111">
        <f>SUM(K7:K144)</f>
        <v>11.879340373216536</v>
      </c>
    </row>
    <row r="151" spans="1:11" s="112" customFormat="1" ht="12">
      <c r="A151" s="109"/>
      <c r="B151" s="113"/>
      <c r="C151" s="113"/>
      <c r="D151" s="114" t="s">
        <v>453</v>
      </c>
      <c r="E151" s="66"/>
      <c r="F151" s="61"/>
      <c r="G151" s="110"/>
      <c r="H151" s="110"/>
      <c r="I151" s="111"/>
      <c r="J151" s="110"/>
      <c r="K151" s="111"/>
    </row>
    <row r="152" spans="1:11" s="112" customFormat="1" ht="24">
      <c r="A152" s="109"/>
      <c r="B152" s="113"/>
      <c r="C152" s="113">
        <v>124</v>
      </c>
      <c r="D152" s="114" t="s">
        <v>164</v>
      </c>
      <c r="E152" s="111"/>
      <c r="F152" s="61"/>
      <c r="G152" s="110"/>
      <c r="H152" s="110"/>
      <c r="I152" s="111"/>
      <c r="J152" s="110"/>
      <c r="K152" s="111">
        <f>K150-K153-K154-K155</f>
        <v>6.949340373216535</v>
      </c>
    </row>
    <row r="153" spans="1:11" s="112" customFormat="1" ht="12">
      <c r="A153" s="109"/>
      <c r="B153" s="113"/>
      <c r="C153" s="113">
        <v>125</v>
      </c>
      <c r="D153" s="115" t="s">
        <v>454</v>
      </c>
      <c r="E153" s="111"/>
      <c r="F153" s="61"/>
      <c r="G153" s="110"/>
      <c r="H153" s="110"/>
      <c r="I153" s="111"/>
      <c r="J153" s="110"/>
      <c r="K153" s="111">
        <v>1.25</v>
      </c>
    </row>
    <row r="154" spans="1:11" ht="12">
      <c r="A154" s="78"/>
      <c r="B154" s="61"/>
      <c r="C154" s="61">
        <v>126</v>
      </c>
      <c r="D154" s="66" t="s">
        <v>455</v>
      </c>
      <c r="E154" s="66"/>
      <c r="F154" s="61"/>
      <c r="G154" s="116"/>
      <c r="H154" s="116"/>
      <c r="I154" s="65"/>
      <c r="J154" s="58"/>
      <c r="K154" s="78">
        <v>2.64</v>
      </c>
    </row>
    <row r="155" spans="1:11" ht="12">
      <c r="A155" s="78"/>
      <c r="B155" s="61"/>
      <c r="C155" s="61">
        <v>127</v>
      </c>
      <c r="D155" s="66" t="s">
        <v>312</v>
      </c>
      <c r="E155" s="66"/>
      <c r="F155" s="61"/>
      <c r="G155" s="116"/>
      <c r="H155" s="116"/>
      <c r="I155" s="65"/>
      <c r="J155" s="58"/>
      <c r="K155" s="78">
        <v>1.04</v>
      </c>
    </row>
    <row r="156" spans="1:11" ht="12">
      <c r="A156" s="117"/>
      <c r="B156" s="118"/>
      <c r="C156" s="118"/>
      <c r="D156" s="119"/>
      <c r="E156" s="119"/>
      <c r="F156" s="118"/>
      <c r="G156" s="120"/>
      <c r="H156" s="120"/>
      <c r="I156" s="121"/>
      <c r="J156" s="121"/>
      <c r="K156" s="117"/>
    </row>
    <row r="159" spans="4:8" ht="12">
      <c r="D159" s="46" t="s">
        <v>456</v>
      </c>
      <c r="H159" s="47" t="s">
        <v>457</v>
      </c>
    </row>
    <row r="161" ht="12">
      <c r="F161" s="122"/>
    </row>
    <row r="187" ht="12">
      <c r="F187" s="122"/>
    </row>
    <row r="201" ht="12">
      <c r="F201" s="122"/>
    </row>
    <row r="210" ht="12">
      <c r="F210" s="122"/>
    </row>
    <row r="216" ht="12">
      <c r="F216" s="122"/>
    </row>
    <row r="219" ht="12">
      <c r="F219" s="122"/>
    </row>
    <row r="222" ht="12">
      <c r="F222" s="123"/>
    </row>
    <row r="230" ht="12">
      <c r="F230" s="122"/>
    </row>
    <row r="232" ht="12">
      <c r="F232" s="124"/>
    </row>
    <row r="234" ht="12">
      <c r="F234" s="125"/>
    </row>
    <row r="235" ht="12">
      <c r="F235" s="125"/>
    </row>
    <row r="238" ht="12">
      <c r="F238" s="47"/>
    </row>
    <row r="239" ht="12">
      <c r="F239" s="126"/>
    </row>
    <row r="240" ht="12">
      <c r="F240" s="48"/>
    </row>
    <row r="241" ht="12">
      <c r="F241" s="48"/>
    </row>
    <row r="242" ht="12">
      <c r="F242" s="48"/>
    </row>
    <row r="243" ht="12">
      <c r="F243" s="48"/>
    </row>
    <row r="244" ht="12">
      <c r="F244" s="48"/>
    </row>
    <row r="245" ht="12">
      <c r="F245" s="48"/>
    </row>
    <row r="246" ht="12">
      <c r="F246" s="48"/>
    </row>
    <row r="247" ht="12">
      <c r="F247" s="48"/>
    </row>
    <row r="248" ht="12">
      <c r="F248" s="48"/>
    </row>
    <row r="249" ht="12">
      <c r="F249" s="48"/>
    </row>
    <row r="250" ht="12">
      <c r="F250" s="48"/>
    </row>
    <row r="251" ht="12">
      <c r="F251" s="48"/>
    </row>
    <row r="252" ht="12">
      <c r="F252" s="48"/>
    </row>
    <row r="253" ht="12">
      <c r="F253" s="48"/>
    </row>
    <row r="254" ht="12">
      <c r="F254" s="48"/>
    </row>
    <row r="255" ht="12">
      <c r="F255" s="48"/>
    </row>
    <row r="256" ht="12">
      <c r="F256" s="48"/>
    </row>
    <row r="257" ht="12">
      <c r="F257" s="48"/>
    </row>
    <row r="258" ht="12">
      <c r="F258" s="48"/>
    </row>
    <row r="259" ht="12">
      <c r="F259" s="48"/>
    </row>
    <row r="260" ht="12">
      <c r="F260" s="48"/>
    </row>
    <row r="261" ht="12">
      <c r="F261" s="48"/>
    </row>
  </sheetData>
  <sheetProtection selectLockedCells="1" selectUnlockedCells="1"/>
  <mergeCells count="19">
    <mergeCell ref="A124:B124"/>
    <mergeCell ref="C124:H124"/>
    <mergeCell ref="A135:B135"/>
    <mergeCell ref="C135:H135"/>
    <mergeCell ref="C142:H142"/>
    <mergeCell ref="B150:D150"/>
    <mergeCell ref="A51:B51"/>
    <mergeCell ref="A91:B91"/>
    <mergeCell ref="D91:F91"/>
    <mergeCell ref="A110:B110"/>
    <mergeCell ref="C110:H110"/>
    <mergeCell ref="A118:B118"/>
    <mergeCell ref="C118:H118"/>
    <mergeCell ref="C1:K1"/>
    <mergeCell ref="C2:J2"/>
    <mergeCell ref="C5:H5"/>
    <mergeCell ref="A17:B17"/>
    <mergeCell ref="C17:H17"/>
    <mergeCell ref="C47:H47"/>
  </mergeCells>
  <printOptions horizontalCentered="1"/>
  <pageMargins left="0" right="0" top="0" bottom="0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C155">
      <selection activeCell="C120" sqref="A1:IV16384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47" t="s">
        <v>458</v>
      </c>
      <c r="F1" s="147"/>
      <c r="G1" s="147"/>
      <c r="H1" s="147"/>
    </row>
    <row r="2" spans="5:8" ht="12.75" customHeight="1">
      <c r="E2" s="148" t="s">
        <v>459</v>
      </c>
      <c r="F2" s="148"/>
      <c r="G2" s="148"/>
      <c r="H2" s="148"/>
    </row>
    <row r="3" spans="5:9" ht="12.75" customHeight="1">
      <c r="E3" s="148" t="s">
        <v>460</v>
      </c>
      <c r="F3" s="148"/>
      <c r="G3" s="148"/>
      <c r="H3" s="148"/>
      <c r="I3" s="148"/>
    </row>
    <row r="4" spans="5:8" ht="12.75" customHeight="1">
      <c r="E4" s="148" t="s">
        <v>461</v>
      </c>
      <c r="F4" s="148"/>
      <c r="G4" s="148"/>
      <c r="H4" s="148"/>
    </row>
    <row r="5" spans="5:8" ht="12.75" customHeight="1">
      <c r="E5" s="148" t="s">
        <v>462</v>
      </c>
      <c r="F5" s="148"/>
      <c r="G5" s="148"/>
      <c r="H5" s="148"/>
    </row>
    <row r="6" spans="5:8" ht="12.75" customHeight="1">
      <c r="E6" s="148" t="s">
        <v>463</v>
      </c>
      <c r="F6" s="148"/>
      <c r="G6" s="148"/>
      <c r="H6" s="148"/>
    </row>
    <row r="7" spans="5:8" ht="12.75" customHeight="1">
      <c r="E7" s="148" t="s">
        <v>464</v>
      </c>
      <c r="F7" s="148"/>
      <c r="G7" s="148"/>
      <c r="H7" s="148"/>
    </row>
    <row r="8" spans="5:8" ht="12.75" customHeight="1">
      <c r="E8" s="148" t="s">
        <v>465</v>
      </c>
      <c r="F8" s="148"/>
      <c r="G8" s="148"/>
      <c r="H8" s="148"/>
    </row>
    <row r="9" spans="1:9" ht="30" customHeight="1">
      <c r="A9" s="128" t="s">
        <v>466</v>
      </c>
      <c r="B9" s="128"/>
      <c r="C9" s="128"/>
      <c r="D9" s="128"/>
      <c r="E9" s="128"/>
      <c r="F9" s="128"/>
      <c r="G9" s="128"/>
      <c r="H9" s="128"/>
      <c r="I9" s="128"/>
    </row>
    <row r="10" spans="1:8" ht="15.75" customHeight="1">
      <c r="A10"/>
      <c r="B10"/>
      <c r="C10" s="9"/>
      <c r="D10" s="129" t="s">
        <v>2</v>
      </c>
      <c r="E10" s="129"/>
      <c r="F10" s="129"/>
      <c r="G10" s="129"/>
      <c r="H10" s="129"/>
    </row>
    <row r="11" spans="1:8" ht="15.75" hidden="1">
      <c r="A11" s="130"/>
      <c r="B11" s="130"/>
      <c r="C11" s="130"/>
      <c r="D11" s="130"/>
      <c r="E11" s="130"/>
      <c r="F11" s="130"/>
      <c r="G11" s="130"/>
      <c r="H11" s="130"/>
    </row>
    <row r="12" spans="1:9" ht="34.5" customHeight="1">
      <c r="A12" s="131" t="s">
        <v>3</v>
      </c>
      <c r="B12" s="131" t="s">
        <v>4</v>
      </c>
      <c r="C12" s="132" t="s">
        <v>5</v>
      </c>
      <c r="D12" s="133" t="s">
        <v>6</v>
      </c>
      <c r="E12" s="133" t="s">
        <v>7</v>
      </c>
      <c r="F12" s="132" t="s">
        <v>8</v>
      </c>
      <c r="G12" s="11" t="s">
        <v>9</v>
      </c>
      <c r="H12" s="11" t="s">
        <v>10</v>
      </c>
      <c r="I12" s="134" t="s">
        <v>467</v>
      </c>
    </row>
    <row r="13" spans="1:9" ht="15" customHeight="1">
      <c r="A13" s="131"/>
      <c r="B13" s="131"/>
      <c r="C13" s="132"/>
      <c r="D13" s="133"/>
      <c r="E13" s="133"/>
      <c r="F13" s="132"/>
      <c r="G13" s="134" t="s">
        <v>11</v>
      </c>
      <c r="H13" s="134"/>
      <c r="I13" s="134"/>
    </row>
    <row r="14" spans="1:9" ht="15.75">
      <c r="A14" s="131"/>
      <c r="B14" s="131"/>
      <c r="C14" s="132"/>
      <c r="D14" s="133"/>
      <c r="E14" s="133"/>
      <c r="F14" s="132"/>
      <c r="G14" s="134">
        <v>559.4</v>
      </c>
      <c r="H14" s="134"/>
      <c r="I14" s="134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35" t="s">
        <v>25</v>
      </c>
      <c r="B23" s="135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35" t="s">
        <v>31</v>
      </c>
      <c r="B25" s="135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36" t="s">
        <v>46</v>
      </c>
      <c r="B31" s="136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35" t="s">
        <v>55</v>
      </c>
      <c r="B35" s="135"/>
      <c r="C35" s="135"/>
      <c r="D35" s="135"/>
      <c r="E35" s="135"/>
      <c r="F35" s="135"/>
      <c r="G35" s="21">
        <v>9</v>
      </c>
      <c r="H35" s="16"/>
      <c r="I35" s="16"/>
    </row>
    <row r="36" spans="1:9" ht="12.75" customHeight="1" hidden="1">
      <c r="A36" s="135" t="s">
        <v>56</v>
      </c>
      <c r="B36" s="135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35" t="s">
        <v>31</v>
      </c>
      <c r="B53" s="135"/>
      <c r="C53" s="22"/>
      <c r="D53" s="137" t="s">
        <v>98</v>
      </c>
      <c r="E53" s="137"/>
      <c r="F53" s="137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35" t="s">
        <v>101</v>
      </c>
      <c r="B55" s="135"/>
      <c r="C55" s="22"/>
      <c r="D55" s="137" t="s">
        <v>102</v>
      </c>
      <c r="E55" s="137"/>
      <c r="F55" s="137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35" t="s">
        <v>112</v>
      </c>
      <c r="B59" s="135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35" t="s">
        <v>125</v>
      </c>
      <c r="B63" s="135"/>
      <c r="C63" s="135"/>
      <c r="D63" s="135"/>
      <c r="E63" s="135"/>
      <c r="F63" s="135"/>
      <c r="G63" s="21">
        <v>9</v>
      </c>
      <c r="H63" s="16"/>
      <c r="I63" s="16"/>
    </row>
    <row r="64" spans="1:9" ht="12.75" customHeight="1" hidden="1">
      <c r="A64" s="135" t="s">
        <v>126</v>
      </c>
      <c r="B64" s="135"/>
      <c r="C64" s="22"/>
      <c r="D64" s="137" t="s">
        <v>127</v>
      </c>
      <c r="E64" s="137"/>
      <c r="F64" s="137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35" t="s">
        <v>131</v>
      </c>
      <c r="B66" s="135"/>
      <c r="C66" s="22"/>
      <c r="D66" s="137" t="s">
        <v>132</v>
      </c>
      <c r="E66" s="137"/>
      <c r="F66" s="137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35" t="s">
        <v>137</v>
      </c>
      <c r="B68" s="135"/>
      <c r="C68" s="30"/>
      <c r="D68" s="137" t="s">
        <v>138</v>
      </c>
      <c r="E68" s="137"/>
      <c r="F68" s="137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35" t="s">
        <v>150</v>
      </c>
      <c r="B73" s="135"/>
      <c r="C73" s="22"/>
      <c r="D73" s="137" t="s">
        <v>151</v>
      </c>
      <c r="E73" s="137"/>
      <c r="F73" s="137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38" t="s">
        <v>163</v>
      </c>
      <c r="E79" s="138"/>
      <c r="F79" s="138"/>
      <c r="G79" s="138"/>
      <c r="H79" s="138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35" t="s">
        <v>167</v>
      </c>
      <c r="C83" s="135"/>
      <c r="D83" s="135"/>
      <c r="E83" s="135"/>
      <c r="F83" s="135"/>
      <c r="G83" s="42">
        <v>9</v>
      </c>
      <c r="H83" s="36"/>
      <c r="I83" s="16"/>
    </row>
    <row r="84" spans="1:9" ht="15.75" customHeight="1">
      <c r="A84" s="135" t="s">
        <v>25</v>
      </c>
      <c r="B84" s="135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127">
        <f>PRODUCT(H85/12/559.4)</f>
        <v>0.2520557740436182</v>
      </c>
    </row>
    <row r="86" spans="1:9" ht="15.75" customHeight="1">
      <c r="A86" s="135" t="s">
        <v>56</v>
      </c>
      <c r="B86" s="135"/>
      <c r="C86" s="22"/>
      <c r="D86" s="137" t="s">
        <v>32</v>
      </c>
      <c r="E86" s="137"/>
      <c r="F86" s="137"/>
      <c r="G86" s="21">
        <v>9</v>
      </c>
      <c r="H86" s="16"/>
      <c r="I86" s="127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127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127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127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127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127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127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127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127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127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127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127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127">
        <f t="shared" si="0"/>
        <v>0.09295673936360387</v>
      </c>
    </row>
    <row r="99" spans="1:9" ht="15.75" customHeight="1">
      <c r="A99" s="135" t="s">
        <v>126</v>
      </c>
      <c r="B99" s="135"/>
      <c r="C99" s="22"/>
      <c r="D99" s="137" t="s">
        <v>47</v>
      </c>
      <c r="E99" s="137"/>
      <c r="F99" s="137"/>
      <c r="G99" s="21">
        <v>9</v>
      </c>
      <c r="H99" s="16"/>
      <c r="I99" s="127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127">
        <f>PRODUCT(H100/12/559.4)</f>
        <v>0.657847693957812</v>
      </c>
    </row>
    <row r="101" spans="1:9" ht="12.75" customHeight="1" hidden="1">
      <c r="A101" s="135" t="s">
        <v>131</v>
      </c>
      <c r="B101" s="135"/>
      <c r="C101" s="22"/>
      <c r="D101" s="137" t="s">
        <v>192</v>
      </c>
      <c r="E101" s="137"/>
      <c r="F101" s="137"/>
      <c r="G101" s="21">
        <v>9</v>
      </c>
      <c r="H101" s="21"/>
      <c r="I101" s="127"/>
    </row>
    <row r="102" spans="1:9" ht="15.75" customHeight="1">
      <c r="A102" s="24"/>
      <c r="B102" s="135" t="s">
        <v>193</v>
      </c>
      <c r="C102" s="135"/>
      <c r="D102" s="135"/>
      <c r="E102" s="135"/>
      <c r="F102" s="135"/>
      <c r="G102" s="21">
        <v>9</v>
      </c>
      <c r="H102" s="16"/>
      <c r="I102" s="127"/>
    </row>
    <row r="103" spans="1:9" ht="15.75" customHeight="1">
      <c r="A103" s="135" t="s">
        <v>25</v>
      </c>
      <c r="B103" s="135"/>
      <c r="C103" s="22"/>
      <c r="D103" s="137" t="s">
        <v>194</v>
      </c>
      <c r="E103" s="137"/>
      <c r="F103" s="137"/>
      <c r="G103" s="21">
        <v>9</v>
      </c>
      <c r="H103" s="16"/>
      <c r="I103" s="127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127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127">
        <f>PRODUCT(H105/12/559.4)</f>
        <v>0.18233821952091528</v>
      </c>
    </row>
    <row r="106" spans="1:9" ht="15.75" customHeight="1">
      <c r="A106" s="135" t="s">
        <v>31</v>
      </c>
      <c r="B106" s="135"/>
      <c r="C106" s="22"/>
      <c r="D106" s="137" t="s">
        <v>199</v>
      </c>
      <c r="E106" s="137"/>
      <c r="F106" s="137"/>
      <c r="G106" s="21">
        <v>9</v>
      </c>
      <c r="H106" s="16"/>
      <c r="I106" s="127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127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127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127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127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127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127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127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127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127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127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127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127">
        <f t="shared" si="1"/>
        <v>0.7458884519127637</v>
      </c>
    </row>
    <row r="119" spans="1:9" ht="18" customHeight="1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127">
        <f t="shared" si="1"/>
        <v>0.06599332618281492</v>
      </c>
    </row>
    <row r="120" spans="1:9" ht="30" customHeight="1">
      <c r="A120" s="135" t="s">
        <v>55</v>
      </c>
      <c r="B120" s="135"/>
      <c r="C120" s="135"/>
      <c r="D120" s="135"/>
      <c r="E120" s="135"/>
      <c r="F120" s="135"/>
      <c r="G120" s="21">
        <v>9</v>
      </c>
      <c r="H120" s="16"/>
      <c r="I120" s="127"/>
    </row>
    <row r="121" spans="1:9" ht="15.75" customHeight="1">
      <c r="A121" s="135" t="s">
        <v>25</v>
      </c>
      <c r="B121" s="135"/>
      <c r="C121" s="22"/>
      <c r="D121" s="137" t="s">
        <v>57</v>
      </c>
      <c r="E121" s="137"/>
      <c r="F121" s="137"/>
      <c r="G121" s="21">
        <v>9</v>
      </c>
      <c r="H121" s="16"/>
      <c r="I121" s="127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127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127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127">
        <f>PRODUCT(H124/12/559.4)</f>
        <v>0.1841258491240615</v>
      </c>
    </row>
    <row r="125" spans="1:9" ht="15.75" customHeight="1">
      <c r="A125" s="135" t="s">
        <v>31</v>
      </c>
      <c r="B125" s="135"/>
      <c r="C125" s="22"/>
      <c r="D125" s="137" t="s">
        <v>98</v>
      </c>
      <c r="E125" s="137"/>
      <c r="F125" s="137"/>
      <c r="G125" s="21">
        <v>9</v>
      </c>
      <c r="H125" s="16"/>
      <c r="I125" s="127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127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127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127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127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127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127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127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127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127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127">
        <f t="shared" si="2"/>
        <v>0.05899177690382553</v>
      </c>
    </row>
    <row r="136" spans="1:9" ht="15.75" customHeight="1">
      <c r="A136" s="135" t="s">
        <v>101</v>
      </c>
      <c r="B136" s="135"/>
      <c r="C136" s="22"/>
      <c r="D136" s="137" t="s">
        <v>102</v>
      </c>
      <c r="E136" s="137"/>
      <c r="F136" s="137"/>
      <c r="G136" s="21">
        <v>9</v>
      </c>
      <c r="H136" s="16"/>
      <c r="I136" s="127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127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127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127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127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127">
        <f>PRODUCT(H141/12/559.4)</f>
        <v>0.029942795852699322</v>
      </c>
    </row>
    <row r="142" spans="1:9" ht="12.75" customHeight="1" hidden="1">
      <c r="A142" s="135"/>
      <c r="B142" s="135"/>
      <c r="C142" s="22"/>
      <c r="D142" s="137" t="s">
        <v>113</v>
      </c>
      <c r="E142" s="137"/>
      <c r="F142" s="137"/>
      <c r="G142" s="21">
        <v>9</v>
      </c>
      <c r="H142" s="16"/>
      <c r="I142" s="127"/>
    </row>
    <row r="143" spans="1:9" ht="15.75" customHeight="1">
      <c r="A143" s="135" t="s">
        <v>25</v>
      </c>
      <c r="B143" s="135"/>
      <c r="C143" s="22"/>
      <c r="D143" s="137" t="s">
        <v>113</v>
      </c>
      <c r="E143" s="137"/>
      <c r="F143" s="137"/>
      <c r="G143" s="21">
        <v>9</v>
      </c>
      <c r="H143" s="16"/>
      <c r="I143" s="127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127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127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127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127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127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127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127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127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127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127">
        <f t="shared" si="3"/>
        <v>0.15090573233226076</v>
      </c>
    </row>
    <row r="154" spans="1:9" ht="15.75" customHeight="1">
      <c r="A154" s="135" t="s">
        <v>125</v>
      </c>
      <c r="B154" s="135"/>
      <c r="C154" s="135"/>
      <c r="D154" s="135"/>
      <c r="E154" s="135"/>
      <c r="F154" s="135"/>
      <c r="G154" s="21">
        <v>9</v>
      </c>
      <c r="H154" s="16"/>
      <c r="I154" s="127"/>
    </row>
    <row r="155" spans="1:9" ht="15.75" customHeight="1">
      <c r="A155" s="135" t="s">
        <v>25</v>
      </c>
      <c r="B155" s="135"/>
      <c r="C155" s="22"/>
      <c r="D155" s="137" t="s">
        <v>127</v>
      </c>
      <c r="E155" s="137"/>
      <c r="F155" s="137"/>
      <c r="G155" s="21">
        <v>9</v>
      </c>
      <c r="H155" s="16"/>
      <c r="I155" s="127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127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127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127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127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127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127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127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127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127">
        <f t="shared" si="4"/>
        <v>0.21987844118698607</v>
      </c>
    </row>
    <row r="165" spans="1:9" ht="15.75" customHeight="1">
      <c r="A165" s="135" t="s">
        <v>101</v>
      </c>
      <c r="B165" s="135"/>
      <c r="C165" s="22"/>
      <c r="D165" s="137" t="s">
        <v>138</v>
      </c>
      <c r="E165" s="137"/>
      <c r="F165" s="137"/>
      <c r="G165" s="21">
        <v>9</v>
      </c>
      <c r="H165" s="16"/>
      <c r="I165" s="127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127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127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127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127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127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127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127">
        <f t="shared" si="5"/>
        <v>0.06539744964843285</v>
      </c>
    </row>
    <row r="173" spans="1:9" ht="15.75" customHeight="1">
      <c r="A173" s="135" t="s">
        <v>46</v>
      </c>
      <c r="B173" s="135"/>
      <c r="C173" s="22"/>
      <c r="D173" s="137" t="s">
        <v>151</v>
      </c>
      <c r="E173" s="137"/>
      <c r="F173" s="137"/>
      <c r="G173" s="21">
        <v>9</v>
      </c>
      <c r="H173" s="16"/>
      <c r="I173" s="127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127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127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127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127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127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127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127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127">
        <f t="shared" si="6"/>
        <v>0.001042783935168633</v>
      </c>
    </row>
    <row r="182" spans="1:9" ht="15.75" customHeight="1">
      <c r="A182" s="135" t="s">
        <v>56</v>
      </c>
      <c r="B182" s="135"/>
      <c r="C182" s="22"/>
      <c r="D182" s="137" t="s">
        <v>297</v>
      </c>
      <c r="E182" s="137"/>
      <c r="F182" s="137"/>
      <c r="G182" s="21">
        <v>9</v>
      </c>
      <c r="H182" s="16"/>
      <c r="I182" s="127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127">
        <f>PRODUCT(H183/12/559.4)</f>
        <v>0.06360982004528662</v>
      </c>
    </row>
  </sheetData>
  <sheetProtection selectLockedCells="1" selectUnlockedCells="1"/>
  <mergeCells count="73">
    <mergeCell ref="A165:B165"/>
    <mergeCell ref="D165:F165"/>
    <mergeCell ref="A173:B173"/>
    <mergeCell ref="D173:F173"/>
    <mergeCell ref="A182:B182"/>
    <mergeCell ref="D182:F182"/>
    <mergeCell ref="A142:B142"/>
    <mergeCell ref="D142:F142"/>
    <mergeCell ref="A143:B143"/>
    <mergeCell ref="D143:F143"/>
    <mergeCell ref="A154:F154"/>
    <mergeCell ref="A155:B155"/>
    <mergeCell ref="D155:F155"/>
    <mergeCell ref="A121:B121"/>
    <mergeCell ref="D121:F121"/>
    <mergeCell ref="A125:B125"/>
    <mergeCell ref="D125:F125"/>
    <mergeCell ref="A136:B136"/>
    <mergeCell ref="D136:F136"/>
    <mergeCell ref="B102:F102"/>
    <mergeCell ref="A103:B103"/>
    <mergeCell ref="D103:F103"/>
    <mergeCell ref="A106:B106"/>
    <mergeCell ref="D106:F106"/>
    <mergeCell ref="A120:F120"/>
    <mergeCell ref="A84:B84"/>
    <mergeCell ref="A86:B86"/>
    <mergeCell ref="D86:F86"/>
    <mergeCell ref="A99:B99"/>
    <mergeCell ref="D99:F99"/>
    <mergeCell ref="A101:B101"/>
    <mergeCell ref="D101:F101"/>
    <mergeCell ref="A68:B68"/>
    <mergeCell ref="D68:F68"/>
    <mergeCell ref="A73:B73"/>
    <mergeCell ref="D73:F73"/>
    <mergeCell ref="D79:H79"/>
    <mergeCell ref="B83:F83"/>
    <mergeCell ref="A59:B59"/>
    <mergeCell ref="A63:F63"/>
    <mergeCell ref="A64:B64"/>
    <mergeCell ref="D64:F64"/>
    <mergeCell ref="A66:B66"/>
    <mergeCell ref="D66:F66"/>
    <mergeCell ref="A31:B31"/>
    <mergeCell ref="A35:F35"/>
    <mergeCell ref="A36:B36"/>
    <mergeCell ref="A53:B53"/>
    <mergeCell ref="D53:F53"/>
    <mergeCell ref="A55:B55"/>
    <mergeCell ref="D55:F55"/>
    <mergeCell ref="F12:F14"/>
    <mergeCell ref="I12:I14"/>
    <mergeCell ref="G13:H13"/>
    <mergeCell ref="G14:H14"/>
    <mergeCell ref="A23:B23"/>
    <mergeCell ref="A25:B25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E1:H1"/>
    <mergeCell ref="E2:H2"/>
    <mergeCell ref="E3:I3"/>
    <mergeCell ref="E4:H4"/>
    <mergeCell ref="E5:H5"/>
    <mergeCell ref="E6:H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dcterms:modified xsi:type="dcterms:W3CDTF">2011-01-13T07:25:08Z</dcterms:modified>
  <cp:category/>
  <cp:version/>
  <cp:contentType/>
  <cp:contentStatus/>
</cp:coreProperties>
</file>